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755" windowWidth="11580" windowHeight="38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<sst xmlns="http://schemas.openxmlformats.org/spreadsheetml/2006/main" count="156" uniqueCount="111">
  <si>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</si>
  <si>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</si>
  <si>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</si>
  <si>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</si>
  <si>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</si>
  <si>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</si>
  <si>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</si>
  <si>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</si>
  <si>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</si>
  <si>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</si>
  <si>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</si>
  <si>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</si>
  <si>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</si>
  <si>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</si>
  <si>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</si>
  <si>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</si>
  <si>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</si>
  <si>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</si>
  <si>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</si>
  <si>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</si>
  <si>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</si>
  <si>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</si>
  <si>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</si>
  <si>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</si>
  <si>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</si>
  <si>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</si>
  <si>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</si>
  <si>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</si>
  <si>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</si>
  <si>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</si>
  <si>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</si>
  <si>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</si>
  <si>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</si>
  <si>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</si>
  <si>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</si>
  <si>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</si>
  <si>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</si>
  <si>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</si>
  <si>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</si>
  <si>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</si>
  <si>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</si>
  <si>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</si>
  <si>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</si>
  <si>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</si>
  <si>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</si>
  <si>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</si>
  <si>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</si>
  <si>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</si>
  <si>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</si>
  <si>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</si>
  <si>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</si>
  <si>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</si>
  <si>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</si>
  <si>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</si>
  <si>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</si>
  <si>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</si>
  <si>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</si>
  <si>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</si>
  <si>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</si>
  <si>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</si>
  <si>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</si>
  <si>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</si>
  <si>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</si>
  <si>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</si>
  <si>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</si>
  <si>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</si>
  <si>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</si>
  <si>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</si>
  <si>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</si>
  <si>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</si>
  <si>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</si>
  <si>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</si>
  <si>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</si>
  <si>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</si>
  <si>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</si>
  <si>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</si>
  <si>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</si>
  <si>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</si>
  <si>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</si>
  <si>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</si>
  <si>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</si>
  <si>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</si>
  <si>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</si>
  <si>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</si>
  <si>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</si>
  <si>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</si>
  <si>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</si>
  <si>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</si>
  <si>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</si>
  <si>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</si>
  <si>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</si>
  <si>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</si>
  <si>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</si>
  <si>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</si>
  <si>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</si>
  <si>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</si>
  <si>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</si>
  <si>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</si>
  <si>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</si>
  <si>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</si>
  <si>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</si>
  <si>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</si>
  <si>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</si>
  <si>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</si>
  <si>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</si>
  <si>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</si>
  <si>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</si>
  <si>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</si>
  <si>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</si>
  <si>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</si>
  <si>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Аналіз використання коштів міського бюджету за 2014 рік станом на 05.08.2014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</si>
</sst>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4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26098.10000000001</c:v>
                </c:pt>
                <c:pt idx="1">
                  <c:v>22202.000000000004</c:v>
                </c:pt>
                <c:pt idx="2">
                  <c:v>1088.3000000000002</c:v>
                </c:pt>
                <c:pt idx="3">
                  <c:v>2807.8000000000056</c:v>
                </c:pt>
              </c:numCache>
            </c:numRef>
          </c:val>
          <c:shape val="box"/>
        </c:ser>
        <c:shape val="box"/>
        <c:axId val="60407998"/>
        <c:axId val="6801071"/>
      </c:bar3DChart>
      <c:catAx>
        <c:axId val="6040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801071"/>
        <c:crosses val="autoZero"/>
        <c:auto val="1"/>
        <c:lblOffset val="100"/>
        <c:tickLblSkip val="1"/>
        <c:noMultiLvlLbl val="0"/>
      </c:catAx>
      <c:valAx>
        <c:axId val="6801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79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170960.90000000002</c:v>
                </c:pt>
                <c:pt idx="1">
                  <c:v>139697.29999999996</c:v>
                </c:pt>
                <c:pt idx="2">
                  <c:v>11.700000000000001</c:v>
                </c:pt>
                <c:pt idx="3">
                  <c:v>9572.500000000002</c:v>
                </c:pt>
                <c:pt idx="4">
                  <c:v>20763.2</c:v>
                </c:pt>
                <c:pt idx="5">
                  <c:v>181.4</c:v>
                </c:pt>
                <c:pt idx="6">
                  <c:v>734.800000000059</c:v>
                </c:pt>
              </c:numCache>
            </c:numRef>
          </c:val>
          <c:shape val="box"/>
        </c:ser>
        <c:shape val="box"/>
        <c:axId val="61209640"/>
        <c:axId val="14015849"/>
      </c:bar3D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15849"/>
        <c:crosses val="autoZero"/>
        <c:auto val="1"/>
        <c:lblOffset val="100"/>
        <c:tickLblSkip val="1"/>
        <c:noMultiLvlLbl val="0"/>
      </c:catAx>
      <c:valAx>
        <c:axId val="14015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096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114401.90000000002</c:v>
                </c:pt>
                <c:pt idx="1">
                  <c:v>92181.59999999999</c:v>
                </c:pt>
                <c:pt idx="2">
                  <c:v>2410.4999999999995</c:v>
                </c:pt>
                <c:pt idx="3">
                  <c:v>1449.5</c:v>
                </c:pt>
                <c:pt idx="4">
                  <c:v>9962.999999999998</c:v>
                </c:pt>
                <c:pt idx="5">
                  <c:v>827.6</c:v>
                </c:pt>
                <c:pt idx="6">
                  <c:v>7569.7000000000335</c:v>
                </c:pt>
              </c:numCache>
            </c:numRef>
          </c:val>
          <c:shape val="box"/>
        </c:ser>
        <c:shape val="box"/>
        <c:axId val="59033778"/>
        <c:axId val="61541955"/>
      </c:bar3DChart>
      <c:catAx>
        <c:axId val="59033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41955"/>
        <c:crosses val="autoZero"/>
        <c:auto val="1"/>
        <c:lblOffset val="100"/>
        <c:tickLblSkip val="1"/>
        <c:noMultiLvlLbl val="0"/>
      </c:catAx>
      <c:valAx>
        <c:axId val="61541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337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22513.59999999999</c:v>
                </c:pt>
                <c:pt idx="1">
                  <c:v>17599.1</c:v>
                </c:pt>
                <c:pt idx="2">
                  <c:v>697.7999999999998</c:v>
                </c:pt>
                <c:pt idx="3">
                  <c:v>207.29999999999998</c:v>
                </c:pt>
                <c:pt idx="4">
                  <c:v>18</c:v>
                </c:pt>
                <c:pt idx="5">
                  <c:v>3991.3999999999924</c:v>
                </c:pt>
              </c:numCache>
            </c:numRef>
          </c:val>
          <c:shape val="box"/>
        </c:ser>
        <c:shape val="box"/>
        <c:axId val="17006684"/>
        <c:axId val="18842429"/>
      </c:bar3DChart>
      <c:catAx>
        <c:axId val="1700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42429"/>
        <c:crosses val="autoZero"/>
        <c:auto val="1"/>
        <c:lblOffset val="100"/>
        <c:tickLblSkip val="1"/>
        <c:noMultiLvlLbl val="0"/>
      </c:catAx>
      <c:valAx>
        <c:axId val="18842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066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6900.9</c:v>
                </c:pt>
                <c:pt idx="1">
                  <c:v>4623.299999999999</c:v>
                </c:pt>
                <c:pt idx="3">
                  <c:v>97.00000000000001</c:v>
                </c:pt>
                <c:pt idx="4">
                  <c:v>227.39999999999992</c:v>
                </c:pt>
                <c:pt idx="5">
                  <c:v>1953.2000000000003</c:v>
                </c:pt>
              </c:numCache>
            </c:numRef>
          </c:val>
          <c:shape val="box"/>
        </c:ser>
        <c:shape val="box"/>
        <c:axId val="35364134"/>
        <c:axId val="49841751"/>
      </c:bar3DChart>
      <c:catAx>
        <c:axId val="35364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41751"/>
        <c:crosses val="autoZero"/>
        <c:auto val="1"/>
        <c:lblOffset val="100"/>
        <c:tickLblSkip val="2"/>
        <c:noMultiLvlLbl val="0"/>
      </c:catAx>
      <c:valAx>
        <c:axId val="49841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641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2045.4</c:v>
                </c:pt>
                <c:pt idx="1">
                  <c:v>1221.5000000000002</c:v>
                </c:pt>
                <c:pt idx="2">
                  <c:v>117</c:v>
                </c:pt>
                <c:pt idx="3">
                  <c:v>126.2</c:v>
                </c:pt>
                <c:pt idx="4">
                  <c:v>495</c:v>
                </c:pt>
                <c:pt idx="5">
                  <c:v>85.69999999999982</c:v>
                </c:pt>
              </c:numCache>
            </c:numRef>
          </c:val>
          <c:shape val="box"/>
        </c:ser>
        <c:shape val="box"/>
        <c:axId val="45922576"/>
        <c:axId val="10650001"/>
      </c:bar3DChart>
      <c:catAx>
        <c:axId val="4592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50001"/>
        <c:crosses val="autoZero"/>
        <c:auto val="1"/>
        <c:lblOffset val="100"/>
        <c:tickLblSkip val="1"/>
        <c:noMultiLvlLbl val="0"/>
      </c:catAx>
      <c:valAx>
        <c:axId val="10650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225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19945.000000000004</c:v>
                </c:pt>
              </c:numCache>
            </c:numRef>
          </c:val>
          <c:shape val="box"/>
        </c:ser>
        <c:shape val="box"/>
        <c:axId val="28741146"/>
        <c:axId val="57343723"/>
      </c:bar3DChart>
      <c:catAx>
        <c:axId val="2874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343723"/>
        <c:crosses val="autoZero"/>
        <c:auto val="1"/>
        <c:lblOffset val="100"/>
        <c:tickLblSkip val="1"/>
        <c:noMultiLvlLbl val="0"/>
      </c:catAx>
      <c:valAx>
        <c:axId val="57343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411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170960.90000000002</c:v>
                </c:pt>
                <c:pt idx="1">
                  <c:v>114401.90000000002</c:v>
                </c:pt>
                <c:pt idx="2">
                  <c:v>22513.59999999999</c:v>
                </c:pt>
                <c:pt idx="3">
                  <c:v>6900.9</c:v>
                </c:pt>
                <c:pt idx="4">
                  <c:v>2045.4</c:v>
                </c:pt>
                <c:pt idx="5">
                  <c:v>26098.10000000001</c:v>
                </c:pt>
                <c:pt idx="6">
                  <c:v>19945.000000000004</c:v>
                </c:pt>
              </c:numCache>
            </c:numRef>
          </c:val>
          <c:shape val="box"/>
        </c:ser>
        <c:shape val="box"/>
        <c:axId val="46331460"/>
        <c:axId val="14329957"/>
      </c:bar3DChart>
      <c:catAx>
        <c:axId val="46331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29957"/>
        <c:crosses val="autoZero"/>
        <c:auto val="1"/>
        <c:lblOffset val="100"/>
        <c:tickLblSkip val="1"/>
        <c:noMultiLvlLbl val="0"/>
      </c:catAx>
      <c:valAx>
        <c:axId val="14329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314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92563.30000000003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281099.39999999997</c:v>
                </c:pt>
                <c:pt idx="1">
                  <c:v>33364.40000000001</c:v>
                </c:pt>
                <c:pt idx="2">
                  <c:v>11271.700000000003</c:v>
                </c:pt>
                <c:pt idx="3">
                  <c:v>4619.9</c:v>
                </c:pt>
                <c:pt idx="4">
                  <c:v>2422.9999999999995</c:v>
                </c:pt>
                <c:pt idx="5">
                  <c:v>44321.80000000015</c:v>
                </c:pt>
              </c:numCache>
            </c:numRef>
          </c:val>
          <c:shape val="box"/>
        </c:ser>
        <c:shape val="box"/>
        <c:axId val="61860750"/>
        <c:axId val="19875839"/>
      </c:bar3DChart>
      <c:catAx>
        <c:axId val="61860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75839"/>
        <c:crosses val="autoZero"/>
        <c:auto val="1"/>
        <c:lblOffset val="100"/>
        <c:tickLblSkip val="1"/>
        <c:noMultiLvlLbl val="0"/>
      </c:catAx>
      <c:valAx>
        <c:axId val="19875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607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4" sqref="D144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7" t="s">
        <v>110</v>
      </c>
      <c r="B1" s="117"/>
      <c r="C1" s="117"/>
      <c r="D1" s="117"/>
      <c r="E1" s="117"/>
      <c r="F1" s="117"/>
      <c r="G1" s="117"/>
      <c r="H1" s="117"/>
      <c r="I1" s="11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1" t="s">
        <v>50</v>
      </c>
      <c r="B3" s="118" t="s">
        <v>107</v>
      </c>
      <c r="C3" s="118" t="s">
        <v>102</v>
      </c>
      <c r="D3" s="118" t="s">
        <v>29</v>
      </c>
      <c r="E3" s="118" t="s">
        <v>28</v>
      </c>
      <c r="F3" s="118" t="s">
        <v>108</v>
      </c>
      <c r="G3" s="118" t="s">
        <v>103</v>
      </c>
      <c r="H3" s="118" t="s">
        <v>109</v>
      </c>
      <c r="I3" s="118" t="s">
        <v>104</v>
      </c>
    </row>
    <row r="4" spans="1:9" ht="24.75" customHeight="1">
      <c r="A4" s="122"/>
      <c r="B4" s="119"/>
      <c r="C4" s="119"/>
      <c r="D4" s="119"/>
      <c r="E4" s="119"/>
      <c r="F4" s="119"/>
      <c r="G4" s="119"/>
      <c r="H4" s="119"/>
      <c r="I4" s="119"/>
    </row>
    <row r="5" spans="1:9" ht="39" customHeight="1" thickBot="1">
      <c r="A5" s="123"/>
      <c r="B5" s="120"/>
      <c r="C5" s="120"/>
      <c r="D5" s="120"/>
      <c r="E5" s="120"/>
      <c r="F5" s="120"/>
      <c r="G5" s="120"/>
      <c r="H5" s="120"/>
      <c r="I5" s="120"/>
    </row>
    <row r="6" spans="1:9" ht="18.75" thickBot="1">
      <c r="A6" s="28" t="s">
        <v>34</v>
      </c>
      <c r="B6" s="52">
        <v>189877.2</v>
      </c>
      <c r="C6" s="53">
        <f>279531.5-5173.3</f>
        <v>274358.2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</f>
        <v>170960.90000000002</v>
      </c>
      <c r="E6" s="3">
        <f>D6/D134*100</f>
        <v>45.33566940563807</v>
      </c>
      <c r="F6" s="3">
        <f>D6/B6*100</f>
        <v>90.03761378406676</v>
      </c>
      <c r="G6" s="3">
        <f aca="true" t="shared" si="0" ref="G6:G41">D6/C6*100</f>
        <v>62.31302727602092</v>
      </c>
      <c r="H6" s="3">
        <f>B6-D6</f>
        <v>18916.29999999999</v>
      </c>
      <c r="I6" s="3">
        <f aca="true" t="shared" si="1" ref="I6:I41">C6-D6</f>
        <v>103397.29999999999</v>
      </c>
    </row>
    <row r="7" spans="1:9" ht="18">
      <c r="A7" s="29" t="s">
        <v>3</v>
      </c>
      <c r="B7" s="49">
        <v>155820.4</v>
      </c>
      <c r="C7" s="50">
        <f>220378.6-5173.3</f>
        <v>215205.30000000002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</f>
        <v>139697.29999999996</v>
      </c>
      <c r="E7" s="1">
        <f>D7/D6*100</f>
        <v>81.71301157165173</v>
      </c>
      <c r="F7" s="1">
        <f>D7/B7*100</f>
        <v>89.65276690343495</v>
      </c>
      <c r="G7" s="1">
        <f t="shared" si="0"/>
        <v>64.91350352430909</v>
      </c>
      <c r="H7" s="1">
        <f>B7-D7</f>
        <v>16123.100000000035</v>
      </c>
      <c r="I7" s="1">
        <f t="shared" si="1"/>
        <v>75508.00000000006</v>
      </c>
    </row>
    <row r="8" spans="1:9" ht="18">
      <c r="A8" s="29" t="s">
        <v>2</v>
      </c>
      <c r="B8" s="49">
        <v>23.4</v>
      </c>
      <c r="C8" s="50">
        <v>44.6</v>
      </c>
      <c r="D8" s="51">
        <f>0.1+0.1+0.3+0.3+2.7+0.7+1.1+1.4+0.5+0.7+1.7+0.4+0.5+1+0.2</f>
        <v>11.700000000000001</v>
      </c>
      <c r="E8" s="12">
        <f>D8/D6*100</f>
        <v>0.006843670102345038</v>
      </c>
      <c r="F8" s="1">
        <f>D8/B8*100</f>
        <v>50.000000000000014</v>
      </c>
      <c r="G8" s="1">
        <f t="shared" si="0"/>
        <v>26.233183856502247</v>
      </c>
      <c r="H8" s="1">
        <f aca="true" t="shared" si="2" ref="H8:H41">B8-D8</f>
        <v>11.699999999999998</v>
      </c>
      <c r="I8" s="1">
        <f t="shared" si="1"/>
        <v>32.9</v>
      </c>
    </row>
    <row r="9" spans="1:9" ht="18">
      <c r="A9" s="29" t="s">
        <v>1</v>
      </c>
      <c r="B9" s="49">
        <v>10495.8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</f>
        <v>9572.500000000002</v>
      </c>
      <c r="E9" s="1">
        <f>D9/D6*100</f>
        <v>5.599233508948537</v>
      </c>
      <c r="F9" s="1">
        <f aca="true" t="shared" si="3" ref="F9:F39">D9/B9*100</f>
        <v>91.20314792583703</v>
      </c>
      <c r="G9" s="1">
        <f t="shared" si="0"/>
        <v>55.967422253664424</v>
      </c>
      <c r="H9" s="1">
        <f t="shared" si="2"/>
        <v>923.2999999999975</v>
      </c>
      <c r="I9" s="1">
        <f t="shared" si="1"/>
        <v>7531.199999999999</v>
      </c>
    </row>
    <row r="10" spans="1:9" ht="18">
      <c r="A10" s="29" t="s">
        <v>0</v>
      </c>
      <c r="B10" s="49">
        <v>21636.2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</f>
        <v>20763.2</v>
      </c>
      <c r="E10" s="1">
        <f>D10/D6*100</f>
        <v>12.144999236667564</v>
      </c>
      <c r="F10" s="1">
        <f t="shared" si="3"/>
        <v>95.96509553433597</v>
      </c>
      <c r="G10" s="1">
        <f t="shared" si="0"/>
        <v>52.637689977310465</v>
      </c>
      <c r="H10" s="1">
        <f t="shared" si="2"/>
        <v>873</v>
      </c>
      <c r="I10" s="1">
        <f t="shared" si="1"/>
        <v>18682.3</v>
      </c>
    </row>
    <row r="11" spans="1:9" ht="18">
      <c r="A11" s="29" t="s">
        <v>15</v>
      </c>
      <c r="B11" s="49">
        <v>241.4</v>
      </c>
      <c r="C11" s="50">
        <v>281.8</v>
      </c>
      <c r="D11" s="51">
        <f>4+4+12.7+4+4+14.5+4+115.8+4+14.4</f>
        <v>181.4</v>
      </c>
      <c r="E11" s="1">
        <f>D11/D6*100</f>
        <v>0.10610613303977691</v>
      </c>
      <c r="F11" s="1">
        <f t="shared" si="3"/>
        <v>75.14498757249378</v>
      </c>
      <c r="G11" s="1">
        <f t="shared" si="0"/>
        <v>64.37189496096522</v>
      </c>
      <c r="H11" s="1">
        <f t="shared" si="2"/>
        <v>60</v>
      </c>
      <c r="I11" s="1">
        <f t="shared" si="1"/>
        <v>100.4</v>
      </c>
    </row>
    <row r="12" spans="1:9" ht="18.75" thickBot="1">
      <c r="A12" s="29" t="s">
        <v>35</v>
      </c>
      <c r="B12" s="50">
        <f>B6-B7-B8-B9-B10-B11</f>
        <v>1660.000000000016</v>
      </c>
      <c r="C12" s="50">
        <f>C6-C7-C8-C9-C10-C11</f>
        <v>2277.299999999991</v>
      </c>
      <c r="D12" s="50">
        <f>D6-D7-D8-D9-D10-D11</f>
        <v>734.800000000059</v>
      </c>
      <c r="E12" s="1">
        <f>D12/D6*100</f>
        <v>0.42980587959004596</v>
      </c>
      <c r="F12" s="1">
        <f t="shared" si="3"/>
        <v>44.26506024096698</v>
      </c>
      <c r="G12" s="1">
        <f t="shared" si="0"/>
        <v>32.26628024415149</v>
      </c>
      <c r="H12" s="1">
        <f t="shared" si="2"/>
        <v>925.199999999957</v>
      </c>
      <c r="I12" s="1">
        <f t="shared" si="1"/>
        <v>1542.4999999999322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137281.1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</f>
        <v>114401.90000000002</v>
      </c>
      <c r="E17" s="3">
        <f>D17/D134*100</f>
        <v>30.33726845013606</v>
      </c>
      <c r="F17" s="3">
        <f>D17/B17*100</f>
        <v>83.33404962518513</v>
      </c>
      <c r="G17" s="3">
        <f t="shared" si="0"/>
        <v>64.3547168580119</v>
      </c>
      <c r="H17" s="3">
        <f>B17-D17</f>
        <v>22879.199999999983</v>
      </c>
      <c r="I17" s="3">
        <f t="shared" si="1"/>
        <v>63365.79999999999</v>
      </c>
    </row>
    <row r="18" spans="1:9" ht="18">
      <c r="A18" s="29" t="s">
        <v>5</v>
      </c>
      <c r="B18" s="49">
        <v>107637.2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</f>
        <v>92181.59999999999</v>
      </c>
      <c r="E18" s="1">
        <f>D18/D17*100</f>
        <v>80.57698342422633</v>
      </c>
      <c r="F18" s="1">
        <f t="shared" si="3"/>
        <v>85.64102373528854</v>
      </c>
      <c r="G18" s="1">
        <f t="shared" si="0"/>
        <v>69.09983621119386</v>
      </c>
      <c r="H18" s="1">
        <f t="shared" si="2"/>
        <v>15455.600000000006</v>
      </c>
      <c r="I18" s="1">
        <f t="shared" si="1"/>
        <v>41221.90000000001</v>
      </c>
    </row>
    <row r="19" spans="1:9" ht="18">
      <c r="A19" s="29" t="s">
        <v>2</v>
      </c>
      <c r="B19" s="49">
        <v>5212.4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</f>
        <v>2410.4999999999995</v>
      </c>
      <c r="E19" s="1">
        <f>D19/D17*100</f>
        <v>2.1070454249448645</v>
      </c>
      <c r="F19" s="1">
        <f t="shared" si="3"/>
        <v>46.245491520221</v>
      </c>
      <c r="G19" s="1">
        <f t="shared" si="0"/>
        <v>30.830327680147334</v>
      </c>
      <c r="H19" s="1">
        <f t="shared" si="2"/>
        <v>2801.9</v>
      </c>
      <c r="I19" s="1">
        <f t="shared" si="1"/>
        <v>5408.1</v>
      </c>
    </row>
    <row r="20" spans="1:9" ht="18">
      <c r="A20" s="29" t="s">
        <v>1</v>
      </c>
      <c r="B20" s="49">
        <v>2101.7</v>
      </c>
      <c r="C20" s="50">
        <v>2836.6</v>
      </c>
      <c r="D20" s="51">
        <f>50.7+162.6+43.4+2.3+47.2+1.8+59.1-0.1+62.8+64.5+13.9+16.6+5.7+70.4+205+17+53.6+0.4+52.9+123.3+33.6+13.4+33.2+48.5+167.7+45.5+44.4+10.1</f>
        <v>1449.5</v>
      </c>
      <c r="E20" s="1">
        <f>D20/D17*100</f>
        <v>1.267024411307854</v>
      </c>
      <c r="F20" s="1">
        <f t="shared" si="3"/>
        <v>68.96797830327831</v>
      </c>
      <c r="G20" s="1">
        <f t="shared" si="0"/>
        <v>51.09990834097159</v>
      </c>
      <c r="H20" s="1">
        <f t="shared" si="2"/>
        <v>652.1999999999998</v>
      </c>
      <c r="I20" s="1">
        <f t="shared" si="1"/>
        <v>1387.1</v>
      </c>
    </row>
    <row r="21" spans="1:9" ht="18">
      <c r="A21" s="29" t="s">
        <v>0</v>
      </c>
      <c r="B21" s="49">
        <v>11252.1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</f>
        <v>9962.999999999998</v>
      </c>
      <c r="E21" s="1">
        <f>D21/D17*100</f>
        <v>8.708771445229491</v>
      </c>
      <c r="F21" s="1">
        <f t="shared" si="3"/>
        <v>88.54347188524807</v>
      </c>
      <c r="G21" s="1">
        <f t="shared" si="0"/>
        <v>51.47879464285714</v>
      </c>
      <c r="H21" s="1">
        <f t="shared" si="2"/>
        <v>1289.1000000000022</v>
      </c>
      <c r="I21" s="1">
        <f t="shared" si="1"/>
        <v>9390.6</v>
      </c>
    </row>
    <row r="22" spans="1:9" ht="18">
      <c r="A22" s="29" t="s">
        <v>15</v>
      </c>
      <c r="B22" s="49">
        <v>973.2</v>
      </c>
      <c r="C22" s="50">
        <v>1388.5</v>
      </c>
      <c r="D22" s="51">
        <f>14.2+80.1+19.7+105+3.5+1.3+30+84.1+0.1+72.2+54.8+15.1+59.3+59.3+8.9+52.2+1.2+36.9+21.6+108.1</f>
        <v>827.6</v>
      </c>
      <c r="E22" s="1">
        <f>D22/D17*100</f>
        <v>0.7234145586742876</v>
      </c>
      <c r="F22" s="1">
        <f t="shared" si="3"/>
        <v>85.03904644471845</v>
      </c>
      <c r="G22" s="1">
        <f t="shared" si="0"/>
        <v>59.603889088944904</v>
      </c>
      <c r="H22" s="1">
        <f t="shared" si="2"/>
        <v>145.60000000000002</v>
      </c>
      <c r="I22" s="1">
        <f t="shared" si="1"/>
        <v>560.9</v>
      </c>
    </row>
    <row r="23" spans="1:9" ht="18.75" thickBot="1">
      <c r="A23" s="29" t="s">
        <v>35</v>
      </c>
      <c r="B23" s="50">
        <f>B17-B18-B19-B20-B21-B22</f>
        <v>10104.500000000005</v>
      </c>
      <c r="C23" s="50">
        <f>C17-C18-C19-C20-C21-C22</f>
        <v>12966.900000000016</v>
      </c>
      <c r="D23" s="50">
        <f>D17-D18-D19-D20-D21-D22</f>
        <v>7569.7000000000335</v>
      </c>
      <c r="E23" s="1">
        <f>D23/D17*100</f>
        <v>6.616760735617182</v>
      </c>
      <c r="F23" s="1">
        <f t="shared" si="3"/>
        <v>74.91414716215576</v>
      </c>
      <c r="G23" s="1">
        <f t="shared" si="0"/>
        <v>58.377098612621545</v>
      </c>
      <c r="H23" s="1">
        <f t="shared" si="2"/>
        <v>2534.799999999972</v>
      </c>
      <c r="I23" s="1">
        <f t="shared" si="1"/>
        <v>5397.1999999999825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26445.5</v>
      </c>
      <c r="C31" s="53">
        <f>38286.9-761.1</f>
        <v>37525.8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</f>
        <v>22513.59999999999</v>
      </c>
      <c r="E31" s="3">
        <f>D31/D134*100</f>
        <v>5.970190416234195</v>
      </c>
      <c r="F31" s="3">
        <f>D31/B31*100</f>
        <v>85.13206405626663</v>
      </c>
      <c r="G31" s="3">
        <f t="shared" si="0"/>
        <v>59.994990113468575</v>
      </c>
      <c r="H31" s="3">
        <f t="shared" si="2"/>
        <v>3931.9000000000087</v>
      </c>
      <c r="I31" s="3">
        <f t="shared" si="1"/>
        <v>15012.200000000012</v>
      </c>
    </row>
    <row r="32" spans="1:9" ht="18">
      <c r="A32" s="29" t="s">
        <v>3</v>
      </c>
      <c r="B32" s="49">
        <v>19825.5</v>
      </c>
      <c r="C32" s="50">
        <f>28976.1-761.1</f>
        <v>28215</v>
      </c>
      <c r="D32" s="51">
        <f>1119.5+1121.1+1039.4+104.2+1079.5+1133.4+1048+1163.9+1081.6+1130.3+1238-0.1+13.4+4.1+3118.3+55.1+2433-70.8+488+299.2</f>
        <v>17599.1</v>
      </c>
      <c r="E32" s="1">
        <f>D32/D31*100</f>
        <v>78.17097221235166</v>
      </c>
      <c r="F32" s="1">
        <f t="shared" si="3"/>
        <v>88.77001841063277</v>
      </c>
      <c r="G32" s="1">
        <f t="shared" si="0"/>
        <v>62.37497784866205</v>
      </c>
      <c r="H32" s="1">
        <f t="shared" si="2"/>
        <v>2226.4000000000015</v>
      </c>
      <c r="I32" s="1">
        <f t="shared" si="1"/>
        <v>10615.900000000001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912.1</v>
      </c>
      <c r="C34" s="50">
        <f>1732.8+0.4</f>
        <v>1733.2</v>
      </c>
      <c r="D34" s="51">
        <f>1+2.5+0.8+6+1.4+0.1+11.2+0.5+6.3-0.2+32.4+6.9+2.4+3.4+18.4+48+143.7+198.6+32.7+71.3+22.6+9.9+48+1.6+5.4+15.8+0.4+0.8+1.6+4.3</f>
        <v>697.7999999999998</v>
      </c>
      <c r="E34" s="1">
        <f>D34/D31*100</f>
        <v>3.0994598820268644</v>
      </c>
      <c r="F34" s="1">
        <f t="shared" si="3"/>
        <v>76.50476921390197</v>
      </c>
      <c r="G34" s="1">
        <f t="shared" si="0"/>
        <v>40.26078929148395</v>
      </c>
      <c r="H34" s="1">
        <f t="shared" si="2"/>
        <v>214.30000000000018</v>
      </c>
      <c r="I34" s="1">
        <f t="shared" si="1"/>
        <v>1035.4</v>
      </c>
    </row>
    <row r="35" spans="1:9" s="44" customFormat="1" ht="18.75">
      <c r="A35" s="23" t="s">
        <v>7</v>
      </c>
      <c r="B35" s="58">
        <v>561.4</v>
      </c>
      <c r="C35" s="59">
        <v>715.3</v>
      </c>
      <c r="D35" s="60">
        <f>38.5+5.5+3+4.5+22.1+25.5+8.2+45.3+17.5+1+24+2.2+10</f>
        <v>207.29999999999998</v>
      </c>
      <c r="E35" s="19">
        <f>D35/D31*100</f>
        <v>0.9207767749271555</v>
      </c>
      <c r="F35" s="19">
        <f t="shared" si="3"/>
        <v>36.92554328464553</v>
      </c>
      <c r="G35" s="19">
        <f t="shared" si="0"/>
        <v>28.980847196980285</v>
      </c>
      <c r="H35" s="19">
        <f t="shared" si="2"/>
        <v>354.1</v>
      </c>
      <c r="I35" s="19">
        <f t="shared" si="1"/>
        <v>508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0.07995167365503521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5128.5</v>
      </c>
      <c r="C37" s="49">
        <f>C31-C32-C34-C35-C33-C36</f>
        <v>6837.100000000003</v>
      </c>
      <c r="D37" s="49">
        <f>D31-D32-D34-D35-D33-D36</f>
        <v>3991.3999999999924</v>
      </c>
      <c r="E37" s="1">
        <f>D37/D31*100</f>
        <v>17.728839457039275</v>
      </c>
      <c r="F37" s="1">
        <f t="shared" si="3"/>
        <v>77.8278249000681</v>
      </c>
      <c r="G37" s="1">
        <f t="shared" si="0"/>
        <v>58.37855231018986</v>
      </c>
      <c r="H37" s="1">
        <f>B37-D37</f>
        <v>1137.1000000000076</v>
      </c>
      <c r="I37" s="1">
        <f t="shared" si="1"/>
        <v>2845.7000000000107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766.3</v>
      </c>
      <c r="C41" s="53">
        <f>1079.9+40.7</f>
        <v>1120.6000000000001</v>
      </c>
      <c r="D41" s="54">
        <f>39.9+10-0.1+63.8+32.1+23.9+51.2+20.3+38.8+26.2+1.3+95</f>
        <v>402.40000000000003</v>
      </c>
      <c r="E41" s="3">
        <f>D41/D134*100</f>
        <v>0.1067090391360174</v>
      </c>
      <c r="F41" s="3">
        <f>D41/B41*100</f>
        <v>52.51207099047372</v>
      </c>
      <c r="G41" s="3">
        <f t="shared" si="0"/>
        <v>35.90933428520435</v>
      </c>
      <c r="H41" s="3">
        <f t="shared" si="2"/>
        <v>363.8999999999999</v>
      </c>
      <c r="I41" s="3">
        <f t="shared" si="1"/>
        <v>718.2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4027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</f>
        <v>3414.1</v>
      </c>
      <c r="E43" s="3">
        <f>D43/D134*100</f>
        <v>0.9053561891507877</v>
      </c>
      <c r="F43" s="3">
        <f>D43/B43*100</f>
        <v>84.7802334243854</v>
      </c>
      <c r="G43" s="3">
        <f aca="true" t="shared" si="4" ref="G43:G73">D43/C43*100</f>
        <v>55.922097918134014</v>
      </c>
      <c r="H43" s="3">
        <f>B43-D43</f>
        <v>612.9000000000001</v>
      </c>
      <c r="I43" s="3">
        <f aca="true" t="shared" si="5" ref="I43:I74">C43-D43</f>
        <v>2691.0000000000005</v>
      </c>
    </row>
    <row r="44" spans="1:9" ht="18">
      <c r="A44" s="29" t="s">
        <v>3</v>
      </c>
      <c r="B44" s="49">
        <v>3547.1</v>
      </c>
      <c r="C44" s="50">
        <f>5484.1-124.7</f>
        <v>5359.400000000001</v>
      </c>
      <c r="D44" s="51">
        <f>179.7+201.3+187+211.8+190.5+230.5+236.3+199.9+0.1+218.5+248.3+8.2+228.5-0.1+273.7+231.2+200.7</f>
        <v>3046.0999999999995</v>
      </c>
      <c r="E44" s="1">
        <f>D44/D43*100</f>
        <v>89.22117102603906</v>
      </c>
      <c r="F44" s="1">
        <f aca="true" t="shared" si="6" ref="F44:F71">D44/B44*100</f>
        <v>85.8757858532322</v>
      </c>
      <c r="G44" s="1">
        <f t="shared" si="4"/>
        <v>56.8365861850207</v>
      </c>
      <c r="H44" s="1">
        <f aca="true" t="shared" si="7" ref="H44:H71">B44-D44</f>
        <v>501.00000000000045</v>
      </c>
      <c r="I44" s="1">
        <f t="shared" si="5"/>
        <v>2313.300000000001</v>
      </c>
    </row>
    <row r="45" spans="1:9" ht="18">
      <c r="A45" s="29" t="s">
        <v>2</v>
      </c>
      <c r="B45" s="49">
        <v>1</v>
      </c>
      <c r="C45" s="50">
        <v>1</v>
      </c>
      <c r="D45" s="51">
        <f>0.3+0.5</f>
        <v>0.8</v>
      </c>
      <c r="E45" s="1">
        <f>D45/D43*100</f>
        <v>0.02343223689991506</v>
      </c>
      <c r="F45" s="1">
        <f t="shared" si="6"/>
        <v>80</v>
      </c>
      <c r="G45" s="1">
        <f t="shared" si="4"/>
        <v>80</v>
      </c>
      <c r="H45" s="1">
        <f t="shared" si="7"/>
        <v>0.19999999999999996</v>
      </c>
      <c r="I45" s="1">
        <f t="shared" si="5"/>
        <v>0.19999999999999996</v>
      </c>
    </row>
    <row r="46" spans="1:9" ht="18">
      <c r="A46" s="29" t="s">
        <v>1</v>
      </c>
      <c r="B46" s="49">
        <v>21.9</v>
      </c>
      <c r="C46" s="50">
        <v>35.1</v>
      </c>
      <c r="D46" s="51">
        <f>3.2+3.4-0.1+3.7+3.6+3.5+3.2</f>
        <v>20.499999999999996</v>
      </c>
      <c r="E46" s="1">
        <f>D46/D43*100</f>
        <v>0.6004510705603233</v>
      </c>
      <c r="F46" s="1">
        <f t="shared" si="6"/>
        <v>93.60730593607305</v>
      </c>
      <c r="G46" s="1">
        <f t="shared" si="4"/>
        <v>58.404558404558394</v>
      </c>
      <c r="H46" s="1">
        <f t="shared" si="7"/>
        <v>1.4000000000000021</v>
      </c>
      <c r="I46" s="1">
        <f t="shared" si="5"/>
        <v>14.600000000000005</v>
      </c>
    </row>
    <row r="47" spans="1:9" ht="18">
      <c r="A47" s="29" t="s">
        <v>0</v>
      </c>
      <c r="B47" s="49">
        <v>214.4</v>
      </c>
      <c r="C47" s="50">
        <f>358+23.1</f>
        <v>381.1</v>
      </c>
      <c r="D47" s="51">
        <f>23.1+2.7+0.5+0.4+5.2+0.6+99.9+12.6+20.5-0.1+2+19.6+1.1+0.5+4.4+0.4+3.4</f>
        <v>196.8</v>
      </c>
      <c r="E47" s="1">
        <f>D47/D43*100</f>
        <v>5.764330277379105</v>
      </c>
      <c r="F47" s="1">
        <f t="shared" si="6"/>
        <v>91.7910447761194</v>
      </c>
      <c r="G47" s="1">
        <f t="shared" si="4"/>
        <v>51.639989504067174</v>
      </c>
      <c r="H47" s="1">
        <f t="shared" si="7"/>
        <v>17.599999999999994</v>
      </c>
      <c r="I47" s="1">
        <f t="shared" si="5"/>
        <v>184.3</v>
      </c>
    </row>
    <row r="48" spans="1:9" ht="18.75" thickBot="1">
      <c r="A48" s="29" t="s">
        <v>35</v>
      </c>
      <c r="B48" s="50">
        <f>B43-B44-B47-B46-B45</f>
        <v>242.6000000000001</v>
      </c>
      <c r="C48" s="50">
        <f>C43-C44-C47-C46-C45</f>
        <v>328.4999999999998</v>
      </c>
      <c r="D48" s="50">
        <f>D43-D44-D47-D46-D45</f>
        <v>149.90000000000043</v>
      </c>
      <c r="E48" s="1">
        <f>D48/D43*100</f>
        <v>4.390615389121597</v>
      </c>
      <c r="F48" s="1">
        <f t="shared" si="6"/>
        <v>61.78895300906858</v>
      </c>
      <c r="G48" s="1">
        <f t="shared" si="4"/>
        <v>45.63165905631676</v>
      </c>
      <c r="H48" s="1">
        <f t="shared" si="7"/>
        <v>92.69999999999968</v>
      </c>
      <c r="I48" s="1">
        <f t="shared" si="5"/>
        <v>178.59999999999934</v>
      </c>
    </row>
    <row r="49" spans="1:9" ht="18.75" thickBot="1">
      <c r="A49" s="28" t="s">
        <v>4</v>
      </c>
      <c r="B49" s="52">
        <v>7968.3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</f>
        <v>6900.9</v>
      </c>
      <c r="E49" s="3">
        <f>D49/D134*100</f>
        <v>1.8299910739904133</v>
      </c>
      <c r="F49" s="3">
        <f>D49/B49*100</f>
        <v>86.60442001430668</v>
      </c>
      <c r="G49" s="3">
        <f t="shared" si="4"/>
        <v>56.84337984547207</v>
      </c>
      <c r="H49" s="3">
        <f>B49-D49</f>
        <v>1067.4000000000005</v>
      </c>
      <c r="I49" s="3">
        <f t="shared" si="5"/>
        <v>5239.299999999999</v>
      </c>
    </row>
    <row r="50" spans="1:9" ht="18">
      <c r="A50" s="29" t="s">
        <v>3</v>
      </c>
      <c r="B50" s="49">
        <v>4954.1</v>
      </c>
      <c r="C50" s="50">
        <f>7727-234.9</f>
        <v>7492.1</v>
      </c>
      <c r="D50" s="51">
        <f>282.8+343.5+279.8+360.5+269.9+364.8-0.1+7.2+231.6+28.9+358.6+269.6+381.2-0.1+7.2+297.2+563.3+0.1+313.9+22.4+240.9+0.1</f>
        <v>4623.299999999999</v>
      </c>
      <c r="E50" s="1">
        <f>D50/D49*100</f>
        <v>66.99560926835629</v>
      </c>
      <c r="F50" s="1">
        <f t="shared" si="6"/>
        <v>93.3227024081064</v>
      </c>
      <c r="G50" s="1">
        <f t="shared" si="4"/>
        <v>61.7090001468213</v>
      </c>
      <c r="H50" s="1">
        <f t="shared" si="7"/>
        <v>330.8000000000011</v>
      </c>
      <c r="I50" s="1">
        <f t="shared" si="5"/>
        <v>2868.800000000001</v>
      </c>
    </row>
    <row r="51" spans="1:9" ht="18">
      <c r="A51" s="29" t="s">
        <v>2</v>
      </c>
      <c r="B51" s="49">
        <v>0</v>
      </c>
      <c r="C51" s="50">
        <v>9.7</v>
      </c>
      <c r="D51" s="51"/>
      <c r="E51" s="12">
        <f>D51/D49*100</f>
        <v>0</v>
      </c>
      <c r="F51" s="1"/>
      <c r="G51" s="1">
        <f t="shared" si="4"/>
        <v>0</v>
      </c>
      <c r="H51" s="1">
        <f t="shared" si="7"/>
        <v>0</v>
      </c>
      <c r="I51" s="1">
        <f t="shared" si="5"/>
        <v>9.7</v>
      </c>
    </row>
    <row r="52" spans="1:9" ht="18">
      <c r="A52" s="29" t="s">
        <v>1</v>
      </c>
      <c r="B52" s="49">
        <v>182.8</v>
      </c>
      <c r="C52" s="50">
        <v>325</v>
      </c>
      <c r="D52" s="51">
        <f>2.4+4.2+4.2+8.7+3.1+5.2-0.1+2.3+6.7+7.1+0.1+3.9+3.5+21.5+2.5-0.1+4.3+17.5</f>
        <v>97.00000000000001</v>
      </c>
      <c r="E52" s="1">
        <f>D52/D49*100</f>
        <v>1.40561376052399</v>
      </c>
      <c r="F52" s="1">
        <f t="shared" si="6"/>
        <v>53.063457330415766</v>
      </c>
      <c r="G52" s="1">
        <f t="shared" si="4"/>
        <v>29.84615384615385</v>
      </c>
      <c r="H52" s="1">
        <f t="shared" si="7"/>
        <v>85.8</v>
      </c>
      <c r="I52" s="1">
        <f t="shared" si="5"/>
        <v>228</v>
      </c>
    </row>
    <row r="53" spans="1:9" ht="18">
      <c r="A53" s="29" t="s">
        <v>0</v>
      </c>
      <c r="B53" s="49">
        <v>247.2</v>
      </c>
      <c r="C53" s="50">
        <v>534.1</v>
      </c>
      <c r="D53" s="51">
        <f>6+11+5+10.4+0.1+20.8+16+0.1+76.5+39.2+7.7+0.3+8.1+0.1+0.2+12-0.1+0.1+4.7+0.1+6.4+2.7</f>
        <v>227.39999999999992</v>
      </c>
      <c r="E53" s="1">
        <f>D53/D49*100</f>
        <v>3.2952223623005685</v>
      </c>
      <c r="F53" s="1">
        <f t="shared" si="6"/>
        <v>91.9902912621359</v>
      </c>
      <c r="G53" s="1">
        <f t="shared" si="4"/>
        <v>42.57629657367533</v>
      </c>
      <c r="H53" s="1">
        <f t="shared" si="7"/>
        <v>19.800000000000068</v>
      </c>
      <c r="I53" s="1">
        <f t="shared" si="5"/>
        <v>306.7000000000001</v>
      </c>
    </row>
    <row r="54" spans="1:9" ht="18.75" thickBot="1">
      <c r="A54" s="29" t="s">
        <v>35</v>
      </c>
      <c r="B54" s="50">
        <f>B49-B50-B53-B52-B51</f>
        <v>2584.2</v>
      </c>
      <c r="C54" s="50">
        <f>C49-C50-C53-C52-C51</f>
        <v>3779.2999999999984</v>
      </c>
      <c r="D54" s="50">
        <f>D49-D50-D53-D52-D51</f>
        <v>1953.2000000000003</v>
      </c>
      <c r="E54" s="1">
        <f>D54/D49*100</f>
        <v>28.30355460881914</v>
      </c>
      <c r="F54" s="1">
        <f t="shared" si="6"/>
        <v>75.58238526429845</v>
      </c>
      <c r="G54" s="1">
        <f t="shared" si="4"/>
        <v>51.68152832535129</v>
      </c>
      <c r="H54" s="1">
        <f t="shared" si="7"/>
        <v>630.9999999999995</v>
      </c>
      <c r="I54" s="1">
        <f>C54-D54</f>
        <v>1826.099999999998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2479.4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</f>
        <v>2045.4</v>
      </c>
      <c r="E56" s="3">
        <f>D56/D134*100</f>
        <v>0.5424022580735834</v>
      </c>
      <c r="F56" s="3">
        <f>D56/B56*100</f>
        <v>82.49576510446076</v>
      </c>
      <c r="G56" s="3">
        <f t="shared" si="4"/>
        <v>67.75539949648866</v>
      </c>
      <c r="H56" s="3">
        <f>B56-D56</f>
        <v>434</v>
      </c>
      <c r="I56" s="3">
        <f t="shared" si="5"/>
        <v>973.4000000000001</v>
      </c>
    </row>
    <row r="57" spans="1:9" ht="18">
      <c r="A57" s="29" t="s">
        <v>3</v>
      </c>
      <c r="B57" s="49">
        <v>1329.3</v>
      </c>
      <c r="C57" s="50">
        <f>2589.6-887.6</f>
        <v>1702</v>
      </c>
      <c r="D57" s="51">
        <f>128-60.9+102.5+75.2+87.9+68.6+30+93+68.5+96.9-0.1+67+116.4+112.6+49.7+83+52.4+24.4+26.2+0.2</f>
        <v>1221.5000000000002</v>
      </c>
      <c r="E57" s="1">
        <f>D57/D56*100</f>
        <v>59.71937029431896</v>
      </c>
      <c r="F57" s="1">
        <f t="shared" si="6"/>
        <v>91.89046866771987</v>
      </c>
      <c r="G57" s="1">
        <f t="shared" si="4"/>
        <v>71.76850763807286</v>
      </c>
      <c r="H57" s="1">
        <f t="shared" si="7"/>
        <v>107.79999999999973</v>
      </c>
      <c r="I57" s="1">
        <f t="shared" si="5"/>
        <v>480.4999999999998</v>
      </c>
    </row>
    <row r="58" spans="1:9" ht="18">
      <c r="A58" s="29" t="s">
        <v>1</v>
      </c>
      <c r="B58" s="49">
        <v>188.9</v>
      </c>
      <c r="C58" s="50">
        <v>188.9</v>
      </c>
      <c r="D58" s="51">
        <f>33+49+35</f>
        <v>117</v>
      </c>
      <c r="E58" s="1">
        <f>D58/D56*100</f>
        <v>5.720152537400997</v>
      </c>
      <c r="F58" s="1">
        <f t="shared" si="6"/>
        <v>61.937533086289044</v>
      </c>
      <c r="G58" s="1">
        <f t="shared" si="4"/>
        <v>61.937533086289044</v>
      </c>
      <c r="H58" s="1">
        <f t="shared" si="7"/>
        <v>71.9</v>
      </c>
      <c r="I58" s="1">
        <f t="shared" si="5"/>
        <v>71.9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</f>
        <v>126.2</v>
      </c>
      <c r="E59" s="1">
        <f>D59/D56*100</f>
        <v>6.1699423095727</v>
      </c>
      <c r="F59" s="1">
        <f t="shared" si="6"/>
        <v>93.205317577548</v>
      </c>
      <c r="G59" s="1">
        <f t="shared" si="4"/>
        <v>43.83466481417159</v>
      </c>
      <c r="H59" s="1">
        <f t="shared" si="7"/>
        <v>9.200000000000003</v>
      </c>
      <c r="I59" s="1">
        <f t="shared" si="5"/>
        <v>161.7</v>
      </c>
    </row>
    <row r="60" spans="1:9" ht="18">
      <c r="A60" s="29" t="s">
        <v>15</v>
      </c>
      <c r="B60" s="49">
        <v>728.7</v>
      </c>
      <c r="C60" s="50">
        <v>728.7</v>
      </c>
      <c r="D60" s="51">
        <f>238+257</f>
        <v>495</v>
      </c>
      <c r="E60" s="1">
        <f>D60/D56*100</f>
        <v>24.20064535054268</v>
      </c>
      <c r="F60" s="1">
        <f t="shared" si="6"/>
        <v>67.92918896665294</v>
      </c>
      <c r="G60" s="1">
        <f t="shared" si="4"/>
        <v>67.92918896665294</v>
      </c>
      <c r="H60" s="1">
        <f t="shared" si="7"/>
        <v>233.70000000000005</v>
      </c>
      <c r="I60" s="1">
        <f t="shared" si="5"/>
        <v>233.70000000000005</v>
      </c>
    </row>
    <row r="61" spans="1:9" ht="18.75" thickBot="1">
      <c r="A61" s="29" t="s">
        <v>35</v>
      </c>
      <c r="B61" s="50">
        <f>B56-B57-B59-B60-B58</f>
        <v>97.10000000000011</v>
      </c>
      <c r="C61" s="50">
        <f>C56-C57-C59-C60-C58</f>
        <v>111.30000000000004</v>
      </c>
      <c r="D61" s="50">
        <f>D56-D57-D59-D60-D58</f>
        <v>85.69999999999982</v>
      </c>
      <c r="E61" s="1">
        <f>D61/D56*100</f>
        <v>4.1898895081646526</v>
      </c>
      <c r="F61" s="1">
        <f t="shared" si="6"/>
        <v>88.2595262615857</v>
      </c>
      <c r="G61" s="1">
        <f t="shared" si="4"/>
        <v>76.99910152740323</v>
      </c>
      <c r="H61" s="1">
        <f t="shared" si="7"/>
        <v>11.40000000000029</v>
      </c>
      <c r="I61" s="1">
        <f t="shared" si="5"/>
        <v>25.60000000000022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306.1</v>
      </c>
      <c r="C66" s="53">
        <f>C67+C68</f>
        <v>460</v>
      </c>
      <c r="D66" s="54">
        <f>SUM(D67:D68)</f>
        <v>1.4</v>
      </c>
      <c r="E66" s="42">
        <f>D66/D134*100</f>
        <v>0.00037125411230224737</v>
      </c>
      <c r="F66" s="113">
        <f>D66/B66*100</f>
        <v>0.45736687357072847</v>
      </c>
      <c r="G66" s="3">
        <f t="shared" si="4"/>
        <v>0.30434782608695654</v>
      </c>
      <c r="H66" s="3">
        <f>B66-D66</f>
        <v>304.70000000000005</v>
      </c>
      <c r="I66" s="3">
        <f t="shared" si="5"/>
        <v>458.6</v>
      </c>
    </row>
    <row r="67" spans="1:9" ht="18">
      <c r="A67" s="29" t="s">
        <v>8</v>
      </c>
      <c r="B67" s="49">
        <v>182</v>
      </c>
      <c r="C67" s="50">
        <v>257.4</v>
      </c>
      <c r="D67" s="51">
        <f>1.4</f>
        <v>1.4</v>
      </c>
      <c r="E67" s="1"/>
      <c r="F67" s="1">
        <f t="shared" si="6"/>
        <v>0.7692307692307692</v>
      </c>
      <c r="G67" s="1">
        <f t="shared" si="4"/>
        <v>0.5439005439005439</v>
      </c>
      <c r="H67" s="1">
        <f t="shared" si="7"/>
        <v>180.6</v>
      </c>
      <c r="I67" s="1">
        <f t="shared" si="5"/>
        <v>255.99999999999997</v>
      </c>
    </row>
    <row r="68" spans="1:9" ht="18.75" thickBot="1">
      <c r="A68" s="29" t="s">
        <v>9</v>
      </c>
      <c r="B68" s="49">
        <v>124.1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124.1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266.7</v>
      </c>
      <c r="C74" s="69">
        <v>400</v>
      </c>
      <c r="D74" s="70"/>
      <c r="E74" s="48"/>
      <c r="F74" s="48"/>
      <c r="G74" s="48"/>
      <c r="H74" s="48">
        <f>B74-D74</f>
        <v>266.7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D81/D134*100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D84/D134*100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31272.1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</f>
        <v>26098.10000000001</v>
      </c>
      <c r="E87" s="3">
        <f>D87/D134*100</f>
        <v>6.920733534482347</v>
      </c>
      <c r="F87" s="3">
        <f aca="true" t="shared" si="10" ref="F87:F92">D87/B87*100</f>
        <v>83.45490069422907</v>
      </c>
      <c r="G87" s="3">
        <f t="shared" si="8"/>
        <v>58.04350243533574</v>
      </c>
      <c r="H87" s="3">
        <f aca="true" t="shared" si="11" ref="H87:H92">B87-D87</f>
        <v>5173.999999999989</v>
      </c>
      <c r="I87" s="3">
        <f t="shared" si="9"/>
        <v>18864.89999999999</v>
      </c>
    </row>
    <row r="88" spans="1:9" ht="18">
      <c r="A88" s="29" t="s">
        <v>3</v>
      </c>
      <c r="B88" s="49">
        <v>25919.6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</f>
        <v>22202.000000000004</v>
      </c>
      <c r="E88" s="1">
        <f>D88/D87*100</f>
        <v>85.0713270314697</v>
      </c>
      <c r="F88" s="1">
        <f t="shared" si="10"/>
        <v>85.65718606768625</v>
      </c>
      <c r="G88" s="1">
        <f t="shared" si="8"/>
        <v>58.40741023300353</v>
      </c>
      <c r="H88" s="1">
        <f t="shared" si="11"/>
        <v>3717.599999999995</v>
      </c>
      <c r="I88" s="1">
        <f t="shared" si="9"/>
        <v>15810.3</v>
      </c>
    </row>
    <row r="89" spans="1:9" ht="18">
      <c r="A89" s="29" t="s">
        <v>33</v>
      </c>
      <c r="B89" s="49">
        <v>1352.9</v>
      </c>
      <c r="C89" s="50">
        <f>1866.3+51.3</f>
        <v>1917.6</v>
      </c>
      <c r="D89" s="51">
        <f>125+55.5+51.3+1.7-0.1+10.4+5.3+280.6+162.7+2.2+25.3+117.8+56.8+64.4+1.4+31+7.8+37.2+1.9+36.4+8.8+1+3.9</f>
        <v>1088.3000000000002</v>
      </c>
      <c r="E89" s="1">
        <f>D89/D87*100</f>
        <v>4.170035366559251</v>
      </c>
      <c r="F89" s="1">
        <f t="shared" si="10"/>
        <v>80.44201345258335</v>
      </c>
      <c r="G89" s="1">
        <f t="shared" si="8"/>
        <v>56.7532332081769</v>
      </c>
      <c r="H89" s="1">
        <f t="shared" si="11"/>
        <v>264.5999999999999</v>
      </c>
      <c r="I89" s="1">
        <f t="shared" si="9"/>
        <v>829.2999999999997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3999.6</v>
      </c>
      <c r="C91" s="50">
        <f>C87-C88-C89-C90</f>
        <v>5033.099999999997</v>
      </c>
      <c r="D91" s="50">
        <f>D87-D88-D89-D90</f>
        <v>2807.8000000000056</v>
      </c>
      <c r="E91" s="1">
        <f>D91/D87*100</f>
        <v>10.758637601971042</v>
      </c>
      <c r="F91" s="1">
        <f t="shared" si="10"/>
        <v>70.20202020202035</v>
      </c>
      <c r="G91" s="1">
        <f>D91/C91*100</f>
        <v>55.786692098309345</v>
      </c>
      <c r="H91" s="1">
        <f t="shared" si="11"/>
        <v>1191.7999999999943</v>
      </c>
      <c r="I91" s="1">
        <f>C91-D91</f>
        <v>2225.299999999991</v>
      </c>
    </row>
    <row r="92" spans="1:9" ht="19.5" thickBot="1">
      <c r="A92" s="14" t="s">
        <v>12</v>
      </c>
      <c r="B92" s="61">
        <v>31005</v>
      </c>
      <c r="C92" s="72">
        <f>39290.3+3989.1</f>
        <v>43279.4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</f>
        <v>19945.000000000004</v>
      </c>
      <c r="E92" s="3">
        <f>D92/D134*100</f>
        <v>5.28904519276309</v>
      </c>
      <c r="F92" s="3">
        <f t="shared" si="10"/>
        <v>64.32833413965491</v>
      </c>
      <c r="G92" s="3">
        <f>D92/C92*100</f>
        <v>46.08428028114993</v>
      </c>
      <c r="H92" s="3">
        <f t="shared" si="11"/>
        <v>11059.999999999996</v>
      </c>
      <c r="I92" s="3">
        <f>C92-D92</f>
        <v>23334.399999999998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4324.2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</f>
        <v>3342.1000000000004</v>
      </c>
      <c r="E98" s="25">
        <f>D98/D134*100</f>
        <v>0.8862631205181009</v>
      </c>
      <c r="F98" s="25">
        <f>D98/B98*100</f>
        <v>77.28828453818049</v>
      </c>
      <c r="G98" s="25">
        <f aca="true" t="shared" si="12" ref="G98:G132">D98/C98*100</f>
        <v>54.22142185015737</v>
      </c>
      <c r="H98" s="25">
        <f>B98-D98</f>
        <v>982.0999999999995</v>
      </c>
      <c r="I98" s="25">
        <f aca="true" t="shared" si="13" ref="I98:I132">C98-D98</f>
        <v>2821.7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0.4548038658328595</v>
      </c>
      <c r="F99" s="1">
        <f>D99/B99*100</f>
        <v>100</v>
      </c>
      <c r="G99" s="96">
        <f>D99/C99*100</f>
        <v>100</v>
      </c>
      <c r="H99" s="96">
        <f>B99-D99</f>
        <v>0</v>
      </c>
      <c r="I99" s="96">
        <f t="shared" si="13"/>
        <v>0</v>
      </c>
    </row>
    <row r="100" spans="1:9" ht="18">
      <c r="A100" s="98" t="s">
        <v>65</v>
      </c>
      <c r="B100" s="82">
        <v>3951.2</v>
      </c>
      <c r="C100" s="51">
        <f>4699.6+1.8+903.3-10.8-3+21.3+0.1</f>
        <v>5612.300000000001</v>
      </c>
      <c r="D100" s="51">
        <f>111.4+112.6+0.9+99.8+111.4+47.6+73.3-0.9+24.7+28.7+415.6+4.4+7.7+94.7+205.4+127.9+182.3+101.7+1.5+137.1+2.5+115.1+119.6+27+29+84.6-0.1+88.5+83.4+12.5+9.5+150.1+22.5+186.2+4.9+4+114.4+3.8+14.2+19.1+99.9+6+8.7+4.7</f>
        <v>3097.9</v>
      </c>
      <c r="E100" s="1">
        <f>D100/D98*100</f>
        <v>92.69321683971155</v>
      </c>
      <c r="F100" s="1">
        <f aca="true" t="shared" si="14" ref="F100:F132">D100/B100*100</f>
        <v>78.40402915569953</v>
      </c>
      <c r="G100" s="1">
        <f t="shared" si="12"/>
        <v>55.19840350658375</v>
      </c>
      <c r="H100" s="1">
        <f>B100-D100</f>
        <v>853.2999999999997</v>
      </c>
      <c r="I100" s="1">
        <f t="shared" si="13"/>
        <v>2514.400000000001</v>
      </c>
    </row>
    <row r="101" spans="1:9" ht="18.75" thickBot="1">
      <c r="A101" s="99" t="s">
        <v>35</v>
      </c>
      <c r="B101" s="101">
        <f>B98-B99-B100</f>
        <v>357.8000000000002</v>
      </c>
      <c r="C101" s="101">
        <f>C98-C99-C100</f>
        <v>536.2999999999993</v>
      </c>
      <c r="D101" s="101">
        <f>D98-D99-D100</f>
        <v>229.00000000000045</v>
      </c>
      <c r="E101" s="97">
        <f>D101/D98*100</f>
        <v>6.851979294455594</v>
      </c>
      <c r="F101" s="97">
        <f t="shared" si="14"/>
        <v>64.00223588596991</v>
      </c>
      <c r="G101" s="97">
        <f t="shared" si="12"/>
        <v>42.69998135372008</v>
      </c>
      <c r="H101" s="97">
        <f>B101-D101</f>
        <v>128.79999999999973</v>
      </c>
      <c r="I101" s="97">
        <f t="shared" si="13"/>
        <v>307.2999999999988</v>
      </c>
    </row>
    <row r="102" spans="1:9" s="2" customFormat="1" ht="26.25" customHeight="1" thickBot="1">
      <c r="A102" s="93" t="s">
        <v>36</v>
      </c>
      <c r="B102" s="94">
        <f>SUM(B103:B131)-B110-B114+B132-B127-B128-B104-B107</f>
        <v>12725.6</v>
      </c>
      <c r="C102" s="94">
        <f>SUM(C103:C131)-C110-C114+C132-C127-C128-C104-C107</f>
        <v>16857.2</v>
      </c>
      <c r="D102" s="94">
        <f>SUM(D103:D131)-D110-D114+D132-D127-D128-D104-D107</f>
        <v>7074.400000000001</v>
      </c>
      <c r="E102" s="95">
        <f>D102/D134*100</f>
        <v>1.8760000657650138</v>
      </c>
      <c r="F102" s="95">
        <f>D102/B102*100</f>
        <v>55.59187778965236</v>
      </c>
      <c r="G102" s="95">
        <f t="shared" si="12"/>
        <v>41.96663740122915</v>
      </c>
      <c r="H102" s="95">
        <f>B102-D102</f>
        <v>5651.2</v>
      </c>
      <c r="I102" s="95">
        <f t="shared" si="13"/>
        <v>9782.8</v>
      </c>
    </row>
    <row r="103" spans="1:9" ht="37.5">
      <c r="A103" s="34" t="s">
        <v>69</v>
      </c>
      <c r="B103" s="79">
        <v>1195.8</v>
      </c>
      <c r="C103" s="75">
        <v>1869.9</v>
      </c>
      <c r="D103" s="80">
        <f>1.4+20.1+85.2+143.2+49+97.4+39.5+2.1+10</f>
        <v>447.9</v>
      </c>
      <c r="E103" s="6">
        <f>D103/D102*100</f>
        <v>6.331278977722492</v>
      </c>
      <c r="F103" s="6">
        <f t="shared" si="14"/>
        <v>37.45609633718013</v>
      </c>
      <c r="G103" s="6">
        <f t="shared" si="12"/>
        <v>23.953152575004008</v>
      </c>
      <c r="H103" s="6">
        <f aca="true" t="shared" si="15" ref="H103:H132">B103-D103</f>
        <v>747.9</v>
      </c>
      <c r="I103" s="6">
        <f t="shared" si="13"/>
        <v>1422</v>
      </c>
    </row>
    <row r="104" spans="1:9" ht="18">
      <c r="A104" s="29" t="s">
        <v>33</v>
      </c>
      <c r="B104" s="82">
        <v>766.9</v>
      </c>
      <c r="C104" s="51">
        <f>1242.6+0.7</f>
        <v>1243.3</v>
      </c>
      <c r="D104" s="83">
        <f>1.4+85.2+143.2+49+2.1+10</f>
        <v>290.90000000000003</v>
      </c>
      <c r="E104" s="1"/>
      <c r="F104" s="1">
        <f t="shared" si="14"/>
        <v>37.93193375929065</v>
      </c>
      <c r="G104" s="1">
        <f t="shared" si="12"/>
        <v>23.397410118233736</v>
      </c>
      <c r="H104" s="1">
        <f t="shared" si="15"/>
        <v>475.99999999999994</v>
      </c>
      <c r="I104" s="1">
        <f t="shared" si="13"/>
        <v>952.3999999999999</v>
      </c>
    </row>
    <row r="105" spans="1:9" ht="34.5" customHeight="1">
      <c r="A105" s="17" t="s">
        <v>106</v>
      </c>
      <c r="B105" s="81">
        <v>557.5</v>
      </c>
      <c r="C105" s="68">
        <v>857.5</v>
      </c>
      <c r="D105" s="80"/>
      <c r="E105" s="6">
        <f>D105/D102*100</f>
        <v>0</v>
      </c>
      <c r="F105" s="6">
        <f>D105/B105*100</f>
        <v>0</v>
      </c>
      <c r="G105" s="6">
        <f t="shared" si="12"/>
        <v>0</v>
      </c>
      <c r="H105" s="6">
        <f t="shared" si="15"/>
        <v>557.5</v>
      </c>
      <c r="I105" s="6">
        <f t="shared" si="13"/>
        <v>857.5</v>
      </c>
    </row>
    <row r="106" spans="1:9" ht="34.5" customHeight="1">
      <c r="A106" s="17" t="s">
        <v>78</v>
      </c>
      <c r="B106" s="81">
        <v>23.1</v>
      </c>
      <c r="C106" s="68">
        <v>36.5</v>
      </c>
      <c r="D106" s="80"/>
      <c r="E106" s="6">
        <f>D106/D102*100</f>
        <v>0</v>
      </c>
      <c r="F106" s="6">
        <f t="shared" si="14"/>
        <v>0</v>
      </c>
      <c r="G106" s="6">
        <f t="shared" si="12"/>
        <v>0</v>
      </c>
      <c r="H106" s="6">
        <f t="shared" si="15"/>
        <v>23.1</v>
      </c>
      <c r="I106" s="6">
        <f t="shared" si="13"/>
        <v>36.5</v>
      </c>
    </row>
    <row r="107" spans="1:9" ht="18" hidden="1">
      <c r="A107" s="29" t="s">
        <v>33</v>
      </c>
      <c r="B107" s="82"/>
      <c r="C107" s="51"/>
      <c r="D107" s="83"/>
      <c r="E107" s="1"/>
      <c r="F107" s="1" t="e">
        <f t="shared" si="14"/>
        <v>#DIV/0!</v>
      </c>
      <c r="G107" s="1" t="e">
        <f t="shared" si="12"/>
        <v>#DIV/0!</v>
      </c>
      <c r="H107" s="1">
        <f t="shared" si="15"/>
        <v>0</v>
      </c>
      <c r="I107" s="1">
        <f t="shared" si="13"/>
        <v>0</v>
      </c>
    </row>
    <row r="108" spans="1:9" ht="37.5">
      <c r="A108" s="17" t="s">
        <v>77</v>
      </c>
      <c r="B108" s="81">
        <v>50</v>
      </c>
      <c r="C108" s="68">
        <v>75.5</v>
      </c>
      <c r="D108" s="80">
        <f>5.5+5.5+5.5-0.1+5.5+5.5+5.5</f>
        <v>32.9</v>
      </c>
      <c r="E108" s="6">
        <f>D108/D102*100</f>
        <v>0.4650571073165215</v>
      </c>
      <c r="F108" s="6">
        <f t="shared" si="14"/>
        <v>65.8</v>
      </c>
      <c r="G108" s="6">
        <f t="shared" si="12"/>
        <v>43.57615894039735</v>
      </c>
      <c r="H108" s="6">
        <f t="shared" si="15"/>
        <v>17.1</v>
      </c>
      <c r="I108" s="6">
        <f t="shared" si="13"/>
        <v>42.6</v>
      </c>
    </row>
    <row r="109" spans="1:9" ht="37.5">
      <c r="A109" s="17" t="s">
        <v>47</v>
      </c>
      <c r="B109" s="81">
        <v>702.6</v>
      </c>
      <c r="C109" s="68">
        <v>1050</v>
      </c>
      <c r="D109" s="80">
        <f>149.7+2.5+4.1+81.3+2.1+67.3+8+8.2+93.7+3.3+1.1+74.6</f>
        <v>495.9</v>
      </c>
      <c r="E109" s="6">
        <f>D109/D102*100</f>
        <v>7.009781748275472</v>
      </c>
      <c r="F109" s="6">
        <f t="shared" si="14"/>
        <v>70.58070025619129</v>
      </c>
      <c r="G109" s="6">
        <f t="shared" si="12"/>
        <v>47.22857142857143</v>
      </c>
      <c r="H109" s="6">
        <f t="shared" si="15"/>
        <v>206.70000000000005</v>
      </c>
      <c r="I109" s="6">
        <f t="shared" si="13"/>
        <v>554.1</v>
      </c>
    </row>
    <row r="110" spans="1:9" ht="18" hidden="1">
      <c r="A110" s="40" t="s">
        <v>54</v>
      </c>
      <c r="B110" s="82"/>
      <c r="C110" s="51"/>
      <c r="D110" s="83"/>
      <c r="E110" s="6"/>
      <c r="F110" s="6" t="e">
        <f t="shared" si="14"/>
        <v>#DIV/0!</v>
      </c>
      <c r="G110" s="1" t="e">
        <f t="shared" si="12"/>
        <v>#DIV/0!</v>
      </c>
      <c r="H110" s="1">
        <f t="shared" si="15"/>
        <v>0</v>
      </c>
      <c r="I110" s="1">
        <f t="shared" si="13"/>
        <v>0</v>
      </c>
    </row>
    <row r="111" spans="1:9" s="44" customFormat="1" ht="18.75" customHeight="1">
      <c r="A111" s="17" t="s">
        <v>61</v>
      </c>
      <c r="B111" s="81">
        <v>74.5</v>
      </c>
      <c r="C111" s="60">
        <f>51.6+22.9</f>
        <v>74.5</v>
      </c>
      <c r="D111" s="84">
        <f>22.9</f>
        <v>22.9</v>
      </c>
      <c r="E111" s="19">
        <f>D111/D102*100</f>
        <v>0.32370236345131737</v>
      </c>
      <c r="F111" s="6">
        <f t="shared" si="14"/>
        <v>30.738255033557042</v>
      </c>
      <c r="G111" s="19">
        <f t="shared" si="12"/>
        <v>30.738255033557042</v>
      </c>
      <c r="H111" s="19">
        <f t="shared" si="15"/>
        <v>51.6</v>
      </c>
      <c r="I111" s="19">
        <f t="shared" si="13"/>
        <v>51.6</v>
      </c>
    </row>
    <row r="112" spans="1:9" ht="37.5">
      <c r="A112" s="17" t="s">
        <v>60</v>
      </c>
      <c r="B112" s="81">
        <v>138.6</v>
      </c>
      <c r="C112" s="68">
        <f>488.6-250</f>
        <v>238.60000000000002</v>
      </c>
      <c r="D112" s="80">
        <f>4.9+70</f>
        <v>74.9</v>
      </c>
      <c r="E112" s="6">
        <f>D112/D102*100</f>
        <v>1.0587470315503789</v>
      </c>
      <c r="F112" s="6">
        <f>D112/B112*100</f>
        <v>54.04040404040404</v>
      </c>
      <c r="G112" s="6">
        <f t="shared" si="12"/>
        <v>31.391450125733446</v>
      </c>
      <c r="H112" s="6">
        <f t="shared" si="15"/>
        <v>63.69999999999999</v>
      </c>
      <c r="I112" s="6">
        <f t="shared" si="13"/>
        <v>163.70000000000002</v>
      </c>
    </row>
    <row r="113" spans="1:9" s="2" customFormat="1" ht="18.75">
      <c r="A113" s="17" t="s">
        <v>16</v>
      </c>
      <c r="B113" s="81">
        <v>114.8</v>
      </c>
      <c r="C113" s="60">
        <v>153.4</v>
      </c>
      <c r="D113" s="80">
        <f>13.5+13.4+14.3+0.8+6.9+0.4+13.5-0.1+0.8+0.5+2+13.5-0.1+0.1+13.9+0.3+2.4+13.5</f>
        <v>109.60000000000001</v>
      </c>
      <c r="E113" s="6">
        <f>D113/D102*100</f>
        <v>1.5492479927626372</v>
      </c>
      <c r="F113" s="6">
        <f t="shared" si="14"/>
        <v>95.47038327526134</v>
      </c>
      <c r="G113" s="6">
        <f t="shared" si="12"/>
        <v>71.4471968709257</v>
      </c>
      <c r="H113" s="6">
        <f t="shared" si="15"/>
        <v>5.199999999999989</v>
      </c>
      <c r="I113" s="6">
        <f t="shared" si="13"/>
        <v>43.8</v>
      </c>
    </row>
    <row r="114" spans="1:9" s="39" customFormat="1" ht="18">
      <c r="A114" s="40" t="s">
        <v>54</v>
      </c>
      <c r="B114" s="82">
        <v>94.3</v>
      </c>
      <c r="C114" s="51">
        <v>121.2</v>
      </c>
      <c r="D114" s="83">
        <f>13.5+13.4+13.5+13.5+13.4+13.5+13.5</f>
        <v>94.3</v>
      </c>
      <c r="E114" s="1"/>
      <c r="F114" s="1">
        <f t="shared" si="14"/>
        <v>100</v>
      </c>
      <c r="G114" s="1">
        <f t="shared" si="12"/>
        <v>77.8052805280528</v>
      </c>
      <c r="H114" s="1">
        <f t="shared" si="15"/>
        <v>0</v>
      </c>
      <c r="I114" s="1">
        <f t="shared" si="13"/>
        <v>26.900000000000006</v>
      </c>
    </row>
    <row r="115" spans="1:9" s="2" customFormat="1" ht="18.75">
      <c r="A115" s="17" t="s">
        <v>25</v>
      </c>
      <c r="B115" s="81">
        <v>246.7</v>
      </c>
      <c r="C115" s="60">
        <f>86.7+250</f>
        <v>336.7</v>
      </c>
      <c r="D115" s="80"/>
      <c r="E115" s="6">
        <f>D115/D102*100</f>
        <v>0</v>
      </c>
      <c r="F115" s="6"/>
      <c r="G115" s="6">
        <f t="shared" si="12"/>
        <v>0</v>
      </c>
      <c r="H115" s="6">
        <f t="shared" si="15"/>
        <v>246.7</v>
      </c>
      <c r="I115" s="6">
        <f t="shared" si="13"/>
        <v>336.7</v>
      </c>
    </row>
    <row r="116" spans="1:9" s="2" customFormat="1" ht="21.75" customHeight="1">
      <c r="A116" s="17" t="s">
        <v>45</v>
      </c>
      <c r="B116" s="81">
        <v>94.7</v>
      </c>
      <c r="C116" s="60">
        <v>94.7</v>
      </c>
      <c r="D116" s="84">
        <f>16.2+3.7</f>
        <v>19.9</v>
      </c>
      <c r="E116" s="19">
        <f>D116/D102*100</f>
        <v>0.28129594029175614</v>
      </c>
      <c r="F116" s="6">
        <f t="shared" si="14"/>
        <v>21.013727560718053</v>
      </c>
      <c r="G116" s="6">
        <f t="shared" si="12"/>
        <v>21.013727560718053</v>
      </c>
      <c r="H116" s="6">
        <f t="shared" si="15"/>
        <v>74.80000000000001</v>
      </c>
      <c r="I116" s="6">
        <f t="shared" si="13"/>
        <v>74.80000000000001</v>
      </c>
    </row>
    <row r="117" spans="1:9" s="2" customFormat="1" ht="37.5">
      <c r="A117" s="17" t="s">
        <v>49</v>
      </c>
      <c r="B117" s="81">
        <v>1624.4</v>
      </c>
      <c r="C117" s="60">
        <v>1700.1</v>
      </c>
      <c r="D117" s="84">
        <f>196.6+25+11.8+12.7+6.1+3.1+261.8+113.5+10.8</f>
        <v>641.4</v>
      </c>
      <c r="E117" s="19">
        <f>D117/D102*100</f>
        <v>9.06649327151419</v>
      </c>
      <c r="F117" s="6">
        <f t="shared" si="14"/>
        <v>39.485348436345724</v>
      </c>
      <c r="G117" s="6">
        <f t="shared" si="12"/>
        <v>37.72719251808717</v>
      </c>
      <c r="H117" s="6">
        <f t="shared" si="15"/>
        <v>983.0000000000001</v>
      </c>
      <c r="I117" s="6">
        <f t="shared" si="13"/>
        <v>1058.6999999999998</v>
      </c>
    </row>
    <row r="118" spans="1:9" s="2" customFormat="1" ht="56.25">
      <c r="A118" s="17" t="s">
        <v>56</v>
      </c>
      <c r="B118" s="81">
        <v>146.3</v>
      </c>
      <c r="C118" s="60">
        <f>157.1+1.2</f>
        <v>158.29999999999998</v>
      </c>
      <c r="D118" s="84">
        <f>3.8+0.6</f>
        <v>4.3999999999999995</v>
      </c>
      <c r="E118" s="19">
        <f>D118/D102*100</f>
        <v>0.0621960873006898</v>
      </c>
      <c r="F118" s="6">
        <f t="shared" si="14"/>
        <v>3.0075187969924806</v>
      </c>
      <c r="G118" s="6">
        <f t="shared" si="12"/>
        <v>2.779532533164877</v>
      </c>
      <c r="H118" s="6">
        <f t="shared" si="15"/>
        <v>141.9</v>
      </c>
      <c r="I118" s="6">
        <f t="shared" si="13"/>
        <v>153.89999999999998</v>
      </c>
    </row>
    <row r="119" spans="1:9" s="2" customFormat="1" ht="57" customHeight="1" hidden="1">
      <c r="A119" s="17" t="s">
        <v>73</v>
      </c>
      <c r="B119" s="81"/>
      <c r="C119" s="60"/>
      <c r="D119" s="84"/>
      <c r="E119" s="19">
        <f>D119/D102*100</f>
        <v>0</v>
      </c>
      <c r="F119" s="6" t="e">
        <f t="shared" si="14"/>
        <v>#DIV/0!</v>
      </c>
      <c r="G119" s="6" t="e">
        <f t="shared" si="12"/>
        <v>#DIV/0!</v>
      </c>
      <c r="H119" s="6">
        <f t="shared" si="15"/>
        <v>0</v>
      </c>
      <c r="I119" s="6">
        <f t="shared" si="13"/>
        <v>0</v>
      </c>
    </row>
    <row r="120" spans="1:9" s="2" customFormat="1" ht="18.75">
      <c r="A120" s="17" t="s">
        <v>59</v>
      </c>
      <c r="B120" s="81">
        <v>50</v>
      </c>
      <c r="C120" s="60">
        <v>50</v>
      </c>
      <c r="D120" s="84">
        <f>16.8+4.6+2.6+2.5+4.9+4.9+7.6</f>
        <v>43.9</v>
      </c>
      <c r="E120" s="19">
        <f>D120/D102*100</f>
        <v>0.620547325568246</v>
      </c>
      <c r="F120" s="6">
        <f t="shared" si="14"/>
        <v>87.8</v>
      </c>
      <c r="G120" s="6">
        <f t="shared" si="12"/>
        <v>87.8</v>
      </c>
      <c r="H120" s="6">
        <f t="shared" si="15"/>
        <v>6.100000000000001</v>
      </c>
      <c r="I120" s="6">
        <f t="shared" si="13"/>
        <v>6.100000000000001</v>
      </c>
    </row>
    <row r="121" spans="1:9" s="2" customFormat="1" ht="37.5">
      <c r="A121" s="17" t="s">
        <v>81</v>
      </c>
      <c r="B121" s="81">
        <v>84.7</v>
      </c>
      <c r="C121" s="60">
        <v>84.7</v>
      </c>
      <c r="D121" s="84">
        <f>18.3+9.7</f>
        <v>28</v>
      </c>
      <c r="E121" s="19">
        <f>D121/D102*100</f>
        <v>0.3957932828225714</v>
      </c>
      <c r="F121" s="6">
        <f t="shared" si="14"/>
        <v>33.057851239669425</v>
      </c>
      <c r="G121" s="6">
        <f t="shared" si="12"/>
        <v>33.057851239669425</v>
      </c>
      <c r="H121" s="6">
        <f t="shared" si="15"/>
        <v>56.7</v>
      </c>
      <c r="I121" s="6">
        <f t="shared" si="13"/>
        <v>56.7</v>
      </c>
    </row>
    <row r="122" spans="1:9" s="2" customFormat="1" ht="18.75">
      <c r="A122" s="17" t="s">
        <v>75</v>
      </c>
      <c r="B122" s="81">
        <v>135.9</v>
      </c>
      <c r="C122" s="60">
        <v>178.8</v>
      </c>
      <c r="D122" s="84">
        <f>7.2+1.4+9.3+6.8+7.7+4.3+1.8+6+21.8+13.1+2.5</f>
        <v>81.89999999999999</v>
      </c>
      <c r="E122" s="19">
        <f>D122/D102*100</f>
        <v>1.1576953522560214</v>
      </c>
      <c r="F122" s="6">
        <f t="shared" si="14"/>
        <v>60.26490066225164</v>
      </c>
      <c r="G122" s="6">
        <f t="shared" si="12"/>
        <v>45.80536912751677</v>
      </c>
      <c r="H122" s="6">
        <f t="shared" si="15"/>
        <v>54.000000000000014</v>
      </c>
      <c r="I122" s="6">
        <f t="shared" si="13"/>
        <v>96.90000000000002</v>
      </c>
    </row>
    <row r="123" spans="1:9" s="2" customFormat="1" ht="35.25" customHeight="1">
      <c r="A123" s="17" t="s">
        <v>74</v>
      </c>
      <c r="B123" s="81">
        <v>39.8</v>
      </c>
      <c r="C123" s="60">
        <v>67.6</v>
      </c>
      <c r="D123" s="84">
        <f>0.5+1.5+0.1+14.8</f>
        <v>16.900000000000002</v>
      </c>
      <c r="E123" s="19">
        <f>D123/D102*100</f>
        <v>0.23888951713219495</v>
      </c>
      <c r="F123" s="6">
        <f t="shared" si="14"/>
        <v>42.46231155778895</v>
      </c>
      <c r="G123" s="6">
        <f t="shared" si="12"/>
        <v>25.000000000000007</v>
      </c>
      <c r="H123" s="6">
        <f t="shared" si="15"/>
        <v>22.899999999999995</v>
      </c>
      <c r="I123" s="6">
        <f t="shared" si="13"/>
        <v>50.69999999999999</v>
      </c>
    </row>
    <row r="124" spans="1:9" s="2" customFormat="1" ht="35.25" customHeight="1">
      <c r="A124" s="17" t="s">
        <v>76</v>
      </c>
      <c r="B124" s="81">
        <v>60</v>
      </c>
      <c r="C124" s="60">
        <v>60</v>
      </c>
      <c r="D124" s="84"/>
      <c r="E124" s="19">
        <f>D124/D102*100</f>
        <v>0</v>
      </c>
      <c r="F124" s="6">
        <f t="shared" si="14"/>
        <v>0</v>
      </c>
      <c r="G124" s="6">
        <f t="shared" si="12"/>
        <v>0</v>
      </c>
      <c r="H124" s="6">
        <f t="shared" si="15"/>
        <v>60</v>
      </c>
      <c r="I124" s="6">
        <f t="shared" si="13"/>
        <v>60</v>
      </c>
    </row>
    <row r="125" spans="1:9" s="2" customFormat="1" ht="18.75">
      <c r="A125" s="17" t="s">
        <v>101</v>
      </c>
      <c r="B125" s="81">
        <v>45.4</v>
      </c>
      <c r="C125" s="60">
        <f>115-64.6</f>
        <v>50.400000000000006</v>
      </c>
      <c r="D125" s="84"/>
      <c r="E125" s="19">
        <f>D125/D102*100</f>
        <v>0</v>
      </c>
      <c r="F125" s="6">
        <f t="shared" si="14"/>
        <v>0</v>
      </c>
      <c r="G125" s="6">
        <f>D125/C125*100</f>
        <v>0</v>
      </c>
      <c r="H125" s="6">
        <f t="shared" si="15"/>
        <v>45.4</v>
      </c>
      <c r="I125" s="6">
        <f t="shared" si="13"/>
        <v>50.400000000000006</v>
      </c>
    </row>
    <row r="126" spans="1:9" s="2" customFormat="1" ht="18.75">
      <c r="A126" s="17" t="s">
        <v>32</v>
      </c>
      <c r="B126" s="81">
        <v>583</v>
      </c>
      <c r="C126" s="60">
        <v>868.2</v>
      </c>
      <c r="D126" s="84">
        <f>21.4+1.2+34.6+22.6+3.4+31.2+5.1+22.6+3+44.8+0.2+32.7+27.3+30.6+3.7+29.7+4.3+33.6+0.1+0.1+6.3+25.5+0.4+38.4+0.1+0.3+0.6+29.7+0.1+36.6</f>
        <v>490.20000000000016</v>
      </c>
      <c r="E126" s="19">
        <f>D126/D102*100</f>
        <v>6.929209544272307</v>
      </c>
      <c r="F126" s="6">
        <f t="shared" si="14"/>
        <v>84.08233276157807</v>
      </c>
      <c r="G126" s="6">
        <f t="shared" si="12"/>
        <v>56.46164478230824</v>
      </c>
      <c r="H126" s="6">
        <f t="shared" si="15"/>
        <v>92.79999999999984</v>
      </c>
      <c r="I126" s="6">
        <f t="shared" si="13"/>
        <v>377.9999999999999</v>
      </c>
    </row>
    <row r="127" spans="1:9" s="39" customFormat="1" ht="18">
      <c r="A127" s="40" t="s">
        <v>54</v>
      </c>
      <c r="B127" s="82">
        <v>501.3</v>
      </c>
      <c r="C127" s="51">
        <v>747.1</v>
      </c>
      <c r="D127" s="83">
        <f>21.4+1.2+34.6+22.6+31.2+22.6+44.8+0.2+32.7+30.6+29.7+33.6+24.3+38.4+29.7+36.6</f>
        <v>434.20000000000005</v>
      </c>
      <c r="E127" s="1">
        <f>D127/D126*100</f>
        <v>88.57609139126885</v>
      </c>
      <c r="F127" s="1">
        <f>D127/B127*100</f>
        <v>86.61480151605826</v>
      </c>
      <c r="G127" s="1">
        <f t="shared" si="12"/>
        <v>58.118056485075634</v>
      </c>
      <c r="H127" s="1">
        <f t="shared" si="15"/>
        <v>67.09999999999997</v>
      </c>
      <c r="I127" s="1">
        <f t="shared" si="13"/>
        <v>312.9</v>
      </c>
    </row>
    <row r="128" spans="1:9" s="39" customFormat="1" ht="18">
      <c r="A128" s="29" t="s">
        <v>33</v>
      </c>
      <c r="B128" s="82">
        <v>15.9</v>
      </c>
      <c r="C128" s="51">
        <v>27.4</v>
      </c>
      <c r="D128" s="83">
        <f>3.4+3+2.7+1.6-0.1+0.1+0.1</f>
        <v>10.8</v>
      </c>
      <c r="E128" s="1">
        <f>D128/D126*100</f>
        <v>2.203182374541003</v>
      </c>
      <c r="F128" s="1">
        <f>D128/B128*100</f>
        <v>67.9245283018868</v>
      </c>
      <c r="G128" s="1">
        <f>D128/C128*100</f>
        <v>39.41605839416059</v>
      </c>
      <c r="H128" s="1">
        <f t="shared" si="15"/>
        <v>5.1</v>
      </c>
      <c r="I128" s="1">
        <f t="shared" si="13"/>
        <v>16.599999999999998</v>
      </c>
    </row>
    <row r="129" spans="1:9" s="2" customFormat="1" ht="18.75">
      <c r="A129" s="17" t="s">
        <v>27</v>
      </c>
      <c r="B129" s="81">
        <v>6282</v>
      </c>
      <c r="C129" s="60">
        <v>8376</v>
      </c>
      <c r="D129" s="84">
        <f>1513.1+580.9+2094</f>
        <v>4188</v>
      </c>
      <c r="E129" s="19">
        <f>D129/D102*100</f>
        <v>59.199366730747485</v>
      </c>
      <c r="F129" s="6">
        <f t="shared" si="14"/>
        <v>66.66666666666666</v>
      </c>
      <c r="G129" s="6">
        <f t="shared" si="12"/>
        <v>50</v>
      </c>
      <c r="H129" s="6">
        <f t="shared" si="15"/>
        <v>2094</v>
      </c>
      <c r="I129" s="6">
        <f t="shared" si="13"/>
        <v>4188</v>
      </c>
    </row>
    <row r="130" spans="1:12" s="2" customFormat="1" ht="18.75" customHeight="1">
      <c r="A130" s="17" t="s">
        <v>105</v>
      </c>
      <c r="B130" s="81">
        <v>475.8</v>
      </c>
      <c r="C130" s="60">
        <v>475.8</v>
      </c>
      <c r="D130" s="84">
        <f>90+165.6+35+30+20+35.1</f>
        <v>375.70000000000005</v>
      </c>
      <c r="E130" s="19">
        <f>D130/D102*100</f>
        <v>5.310697727015719</v>
      </c>
      <c r="F130" s="114">
        <f>D130/B130*100</f>
        <v>78.9617486338798</v>
      </c>
      <c r="G130" s="6">
        <f t="shared" si="12"/>
        <v>78.9617486338798</v>
      </c>
      <c r="H130" s="6">
        <f t="shared" si="15"/>
        <v>100.09999999999997</v>
      </c>
      <c r="I130" s="6">
        <f t="shared" si="13"/>
        <v>100.09999999999997</v>
      </c>
      <c r="K130" s="45"/>
      <c r="L130" s="45"/>
    </row>
    <row r="131" spans="1:12" s="2" customFormat="1" ht="19.5" customHeight="1" hidden="1">
      <c r="A131" s="17" t="s">
        <v>67</v>
      </c>
      <c r="B131" s="81">
        <v>0</v>
      </c>
      <c r="C131" s="60">
        <v>0</v>
      </c>
      <c r="D131" s="84"/>
      <c r="E131" s="19">
        <f>D131/D102*100</f>
        <v>0</v>
      </c>
      <c r="F131" s="6"/>
      <c r="G131" s="6" t="e">
        <f t="shared" si="12"/>
        <v>#DIV/0!</v>
      </c>
      <c r="H131" s="6">
        <f t="shared" si="15"/>
        <v>0</v>
      </c>
      <c r="I131" s="6">
        <f t="shared" si="13"/>
        <v>0</v>
      </c>
      <c r="K131" s="104"/>
      <c r="L131" s="45"/>
    </row>
    <row r="132" spans="1:12" s="2" customFormat="1" ht="18.75" hidden="1">
      <c r="A132" s="17" t="s">
        <v>62</v>
      </c>
      <c r="B132" s="81"/>
      <c r="C132" s="60"/>
      <c r="D132" s="84"/>
      <c r="E132" s="19">
        <f>D132/D102*100</f>
        <v>0</v>
      </c>
      <c r="F132" s="6" t="e">
        <f t="shared" si="14"/>
        <v>#DIV/0!</v>
      </c>
      <c r="G132" s="6" t="e">
        <f t="shared" si="12"/>
        <v>#DIV/0!</v>
      </c>
      <c r="H132" s="6">
        <f t="shared" si="15"/>
        <v>0</v>
      </c>
      <c r="I132" s="6">
        <f t="shared" si="13"/>
        <v>0</v>
      </c>
      <c r="K132" s="45"/>
      <c r="L132" s="45"/>
    </row>
    <row r="133" spans="1:12" s="2" customFormat="1" ht="19.5" thickBot="1">
      <c r="A133" s="41" t="s">
        <v>37</v>
      </c>
      <c r="B133" s="85">
        <f>B41+B66+B69+B74+B76+B84+B98+B102+B96+B81+B94</f>
        <v>18388.9</v>
      </c>
      <c r="C133" s="85">
        <f>C41+C66+C69+C74+C76+C84+C98+C102+C96+C81+C94</f>
        <v>25001.600000000002</v>
      </c>
      <c r="D133" s="60">
        <f>D41+D66+D69+D74+D76+D84+D98+D102+D96+D81+D94</f>
        <v>10820.300000000001</v>
      </c>
      <c r="E133" s="19"/>
      <c r="F133" s="19"/>
      <c r="G133" s="6"/>
      <c r="H133" s="6"/>
      <c r="I133" s="20"/>
      <c r="K133" s="45"/>
      <c r="L133" s="45"/>
    </row>
    <row r="134" spans="1:12" ht="19.5" thickBot="1">
      <c r="A134" s="14" t="s">
        <v>19</v>
      </c>
      <c r="B134" s="54">
        <f>B6+B17+B31+B41+B49+B56+B66+B69+B74+B76+B84+B87+B92+B98+B102+B96+B81+B94+B43</f>
        <v>448744.5</v>
      </c>
      <c r="C134" s="54">
        <f>C6+C17+C31+C41+C49+C56+C66+C69+C74+C76+C84+C87+C92+C98+C102+C96+C81+C94+C43</f>
        <v>624159.8</v>
      </c>
      <c r="D134" s="54">
        <f>D6+D17+D31+D41+D49+D56+D66+D69+D74+D76+D84+D87+D92+D98+D102+D96+D81+D94+D43</f>
        <v>377100.2000000001</v>
      </c>
      <c r="E134" s="38">
        <v>100</v>
      </c>
      <c r="F134" s="3">
        <f>D134/B134*100</f>
        <v>84.03450070140138</v>
      </c>
      <c r="G134" s="3">
        <f aca="true" t="shared" si="16" ref="G134:G140">D134/C134*100</f>
        <v>60.41725212037047</v>
      </c>
      <c r="H134" s="3">
        <f aca="true" t="shared" si="17" ref="H134:H140">B134-D134</f>
        <v>71644.29999999987</v>
      </c>
      <c r="I134" s="3">
        <f aca="true" t="shared" si="18" ref="I134:I140">C134-D134</f>
        <v>247059.59999999992</v>
      </c>
      <c r="K134" s="46"/>
      <c r="L134" s="47"/>
    </row>
    <row r="135" spans="1:12" ht="18.75">
      <c r="A135" s="23" t="s">
        <v>5</v>
      </c>
      <c r="B135" s="67">
        <f>B7+B18+B32+B50+B57+B88+B110+B114+B44+B127</f>
        <v>319628.7999999999</v>
      </c>
      <c r="C135" s="67">
        <f>C7+C18+C32+C50+C57+C88+C110+C114+C44+C127</f>
        <v>430257.9</v>
      </c>
      <c r="D135" s="67">
        <f>D7+D18+D32+D50+D57+D88+D110+D114+D44+D127</f>
        <v>281099.39999999997</v>
      </c>
      <c r="E135" s="6">
        <f>D135/D134*100</f>
        <v>74.54236301121024</v>
      </c>
      <c r="F135" s="6">
        <f aca="true" t="shared" si="19" ref="F135:F146">D135/B135*100</f>
        <v>87.94557937207162</v>
      </c>
      <c r="G135" s="6">
        <f t="shared" si="16"/>
        <v>65.33276902062693</v>
      </c>
      <c r="H135" s="6">
        <f t="shared" si="17"/>
        <v>38529.39999999991</v>
      </c>
      <c r="I135" s="18">
        <f t="shared" si="18"/>
        <v>149158.50000000006</v>
      </c>
      <c r="K135" s="46"/>
      <c r="L135" s="47"/>
    </row>
    <row r="136" spans="1:12" ht="18.75">
      <c r="A136" s="23" t="s">
        <v>0</v>
      </c>
      <c r="B136" s="68">
        <f>B10+B21+B34+B53+B59+B89+B47+B128+B104+B107</f>
        <v>36533.100000000006</v>
      </c>
      <c r="C136" s="68">
        <f>C10+C21+C34+C53+C59+C89+C47+C128+C104+C107</f>
        <v>64923.7</v>
      </c>
      <c r="D136" s="68">
        <f>D10+D21+D34+D53+D59+D89+D47+D128+D104+D107</f>
        <v>33364.40000000001</v>
      </c>
      <c r="E136" s="6">
        <f>D136/D134*100</f>
        <v>8.847621931783648</v>
      </c>
      <c r="F136" s="6">
        <f t="shared" si="19"/>
        <v>91.32649569842144</v>
      </c>
      <c r="G136" s="6">
        <f t="shared" si="16"/>
        <v>51.39017030760725</v>
      </c>
      <c r="H136" s="6">
        <f t="shared" si="17"/>
        <v>3168.699999999997</v>
      </c>
      <c r="I136" s="18">
        <f t="shared" si="18"/>
        <v>31559.29999999999</v>
      </c>
      <c r="K136" s="46"/>
      <c r="L136" s="103"/>
    </row>
    <row r="137" spans="1:12" ht="18.75">
      <c r="A137" s="23" t="s">
        <v>1</v>
      </c>
      <c r="B137" s="67">
        <f>B20+B9+B52+B46+B58+B33+B99</f>
        <v>13006.3</v>
      </c>
      <c r="C137" s="67">
        <f>C20+C9+C52+C46+C58+C33+C99</f>
        <v>20504.5</v>
      </c>
      <c r="D137" s="67">
        <f>D20+D9+D52+D46+D58+D33+D99</f>
        <v>11271.700000000003</v>
      </c>
      <c r="E137" s="6">
        <f>D137/D134*100</f>
        <v>2.989046412598031</v>
      </c>
      <c r="F137" s="6">
        <f t="shared" si="19"/>
        <v>86.66338620514676</v>
      </c>
      <c r="G137" s="6">
        <f t="shared" si="16"/>
        <v>54.971835450754725</v>
      </c>
      <c r="H137" s="6">
        <f t="shared" si="17"/>
        <v>1734.5999999999967</v>
      </c>
      <c r="I137" s="18">
        <f t="shared" si="18"/>
        <v>9232.799999999997</v>
      </c>
      <c r="K137" s="46"/>
      <c r="L137" s="47"/>
    </row>
    <row r="138" spans="1:12" ht="21" customHeight="1">
      <c r="A138" s="23" t="s">
        <v>15</v>
      </c>
      <c r="B138" s="67">
        <f>B11+B22+B100+B60+B36+B90</f>
        <v>5912.5</v>
      </c>
      <c r="C138" s="67">
        <f>C11+C22+C100+C60+C36+C90</f>
        <v>8036.500000000001</v>
      </c>
      <c r="D138" s="67">
        <f>D11+D22+D100+D60+D36+D90</f>
        <v>4619.9</v>
      </c>
      <c r="E138" s="6">
        <f>D138/D134*100</f>
        <v>1.2251120524465375</v>
      </c>
      <c r="F138" s="6">
        <f t="shared" si="19"/>
        <v>78.13784355179703</v>
      </c>
      <c r="G138" s="6">
        <f t="shared" si="16"/>
        <v>57.486467989796544</v>
      </c>
      <c r="H138" s="6">
        <f t="shared" si="17"/>
        <v>1292.6000000000004</v>
      </c>
      <c r="I138" s="18">
        <f t="shared" si="18"/>
        <v>3416.6000000000013</v>
      </c>
      <c r="K138" s="46"/>
      <c r="L138" s="103"/>
    </row>
    <row r="139" spans="1:12" ht="18.75">
      <c r="A139" s="23" t="s">
        <v>2</v>
      </c>
      <c r="B139" s="67">
        <f>B8+B19+B45+B51</f>
        <v>5236.799999999999</v>
      </c>
      <c r="C139" s="67">
        <f>C8+C19+C45+C51</f>
        <v>7873.900000000001</v>
      </c>
      <c r="D139" s="67">
        <f>D8+D19+D45+D51</f>
        <v>2422.9999999999995</v>
      </c>
      <c r="E139" s="6">
        <f>D139/D134*100</f>
        <v>0.6425347957916752</v>
      </c>
      <c r="F139" s="6">
        <f t="shared" si="19"/>
        <v>46.26871371830125</v>
      </c>
      <c r="G139" s="6">
        <f t="shared" si="16"/>
        <v>30.772552356519633</v>
      </c>
      <c r="H139" s="6">
        <f t="shared" si="17"/>
        <v>2813.7999999999997</v>
      </c>
      <c r="I139" s="18">
        <f t="shared" si="18"/>
        <v>5450.9000000000015</v>
      </c>
      <c r="K139" s="46"/>
      <c r="L139" s="47"/>
    </row>
    <row r="140" spans="1:12" ht="19.5" thickBot="1">
      <c r="A140" s="23" t="s">
        <v>35</v>
      </c>
      <c r="B140" s="67">
        <f>B134-B135-B136-B137-B138-B139</f>
        <v>68427.00000000012</v>
      </c>
      <c r="C140" s="67">
        <f>C134-C135-C136-C137-C138-C139</f>
        <v>92563.30000000003</v>
      </c>
      <c r="D140" s="67">
        <f>D134-D135-D136-D137-D138-D139</f>
        <v>44321.80000000015</v>
      </c>
      <c r="E140" s="6">
        <f>D140/D134*100</f>
        <v>11.753321796169859</v>
      </c>
      <c r="F140" s="6">
        <f t="shared" si="19"/>
        <v>64.7723851695969</v>
      </c>
      <c r="G140" s="43">
        <f t="shared" si="16"/>
        <v>47.882692168494565</v>
      </c>
      <c r="H140" s="6">
        <f t="shared" si="17"/>
        <v>24105.199999999968</v>
      </c>
      <c r="I140" s="6">
        <f t="shared" si="18"/>
        <v>48241.49999999988</v>
      </c>
      <c r="K140" s="46"/>
      <c r="L140" s="103"/>
    </row>
    <row r="141" spans="1:12" ht="5.25" customHeight="1" thickBot="1">
      <c r="A141" s="35"/>
      <c r="B141" s="86"/>
      <c r="C141" s="87"/>
      <c r="D141" s="87"/>
      <c r="E141" s="21"/>
      <c r="F141" s="21"/>
      <c r="G141" s="21"/>
      <c r="H141" s="21"/>
      <c r="I141" s="22"/>
      <c r="K141" s="46"/>
      <c r="L141" s="46"/>
    </row>
    <row r="142" spans="1:12" ht="18.75">
      <c r="A142" s="32" t="s">
        <v>21</v>
      </c>
      <c r="B142" s="88">
        <v>55515.4</v>
      </c>
      <c r="C142" s="74">
        <v>77971.6</v>
      </c>
      <c r="D142" s="74">
        <f>1285.7+343.1+251.2+535+4+1250.9+3+47.1-1+182.9+10.6+2492.6+31+22.3+70.1+288.5+61.4+28+67+8.2+59.1+10.4+80.6</f>
        <v>7131.700000000001</v>
      </c>
      <c r="E142" s="15"/>
      <c r="F142" s="6">
        <f t="shared" si="19"/>
        <v>12.846345338410604</v>
      </c>
      <c r="G142" s="6">
        <f aca="true" t="shared" si="20" ref="G142:G151">D142/C142*100</f>
        <v>9.146535405198817</v>
      </c>
      <c r="H142" s="6">
        <f>B142-D142</f>
        <v>48383.7</v>
      </c>
      <c r="I142" s="6">
        <f aca="true" t="shared" si="21" ref="I142:I151">C142-D142</f>
        <v>70839.90000000001</v>
      </c>
      <c r="J142" s="105"/>
      <c r="K142" s="46"/>
      <c r="L142" s="46"/>
    </row>
    <row r="143" spans="1:12" ht="18.75">
      <c r="A143" s="23" t="s">
        <v>22</v>
      </c>
      <c r="B143" s="89">
        <v>20400.2</v>
      </c>
      <c r="C143" s="67">
        <f>23644.2-130</f>
        <v>23514.2</v>
      </c>
      <c r="D143" s="67">
        <f>2921.3+155.4+1707.9+56.8+14.6+990.8-990.8+14.7+990.8+400.1+597.2+8.8-9.6</f>
        <v>6858.000000000001</v>
      </c>
      <c r="E143" s="6"/>
      <c r="F143" s="6">
        <f t="shared" si="19"/>
        <v>33.61731747727964</v>
      </c>
      <c r="G143" s="6">
        <f t="shared" si="20"/>
        <v>29.16535540226757</v>
      </c>
      <c r="H143" s="6">
        <f aca="true" t="shared" si="22" ref="H143:H150">B143-D143</f>
        <v>13542.2</v>
      </c>
      <c r="I143" s="6">
        <f t="shared" si="21"/>
        <v>16656.2</v>
      </c>
      <c r="K143" s="46"/>
      <c r="L143" s="46"/>
    </row>
    <row r="144" spans="1:12" ht="18.75">
      <c r="A144" s="23" t="s">
        <v>63</v>
      </c>
      <c r="B144" s="89">
        <v>65236.1</v>
      </c>
      <c r="C144" s="67">
        <f>109130.7-6200+130</f>
        <v>103060.7</v>
      </c>
      <c r="D144" s="67">
        <f>12373.9+5.2+226.7+32.3+504.2+352+56.1+74.8+164.6+110.4+53.4+5+259.9</f>
        <v>14218.5</v>
      </c>
      <c r="E144" s="6"/>
      <c r="F144" s="6">
        <f t="shared" si="19"/>
        <v>21.795447612594867</v>
      </c>
      <c r="G144" s="6">
        <f t="shared" si="20"/>
        <v>13.79623852739211</v>
      </c>
      <c r="H144" s="6">
        <f t="shared" si="22"/>
        <v>51017.6</v>
      </c>
      <c r="I144" s="6">
        <f t="shared" si="21"/>
        <v>88842.2</v>
      </c>
      <c r="K144" s="46"/>
      <c r="L144" s="46"/>
    </row>
    <row r="145" spans="1:12" ht="37.5">
      <c r="A145" s="23" t="s">
        <v>72</v>
      </c>
      <c r="B145" s="89">
        <v>6200</v>
      </c>
      <c r="C145" s="67">
        <v>6200</v>
      </c>
      <c r="D145" s="67">
        <f>5500+500</f>
        <v>6000</v>
      </c>
      <c r="E145" s="6"/>
      <c r="F145" s="6">
        <f t="shared" si="19"/>
        <v>96.7741935483871</v>
      </c>
      <c r="G145" s="6">
        <f t="shared" si="20"/>
        <v>96.7741935483871</v>
      </c>
      <c r="H145" s="6">
        <f t="shared" si="22"/>
        <v>200</v>
      </c>
      <c r="I145" s="6">
        <f t="shared" si="21"/>
        <v>200</v>
      </c>
      <c r="K145" s="46"/>
      <c r="L145" s="46"/>
    </row>
    <row r="146" spans="1:12" ht="18.75">
      <c r="A146" s="23" t="s">
        <v>13</v>
      </c>
      <c r="B146" s="89">
        <v>14974.5</v>
      </c>
      <c r="C146" s="67">
        <f>8750.7+10716.7</f>
        <v>19467.4</v>
      </c>
      <c r="D146" s="67">
        <f>1079.6+99+23+18.9+98+142.5+46.8+99.4+162.7+67+248.3+33.5+121.9+230+22.3+285.4+115.2+35.8+49.4+183.7+191.3</f>
        <v>3353.7000000000007</v>
      </c>
      <c r="E146" s="19"/>
      <c r="F146" s="6">
        <f t="shared" si="19"/>
        <v>22.396073324651912</v>
      </c>
      <c r="G146" s="6">
        <f t="shared" si="20"/>
        <v>17.227261986705983</v>
      </c>
      <c r="H146" s="6">
        <f t="shared" si="22"/>
        <v>11620.8</v>
      </c>
      <c r="I146" s="6">
        <f t="shared" si="21"/>
        <v>16113.7</v>
      </c>
      <c r="K146" s="46"/>
      <c r="L146" s="46"/>
    </row>
    <row r="147" spans="1:12" ht="18.75" hidden="1">
      <c r="A147" s="23" t="s">
        <v>26</v>
      </c>
      <c r="B147" s="89"/>
      <c r="C147" s="67"/>
      <c r="D147" s="67"/>
      <c r="E147" s="19"/>
      <c r="F147" s="6" t="e">
        <f>D147/B147*100</f>
        <v>#DIV/0!</v>
      </c>
      <c r="G147" s="6" t="e">
        <f t="shared" si="20"/>
        <v>#DIV/0!</v>
      </c>
      <c r="H147" s="6">
        <f t="shared" si="22"/>
        <v>0</v>
      </c>
      <c r="I147" s="6">
        <f t="shared" si="21"/>
        <v>0</v>
      </c>
      <c r="K147" s="46"/>
      <c r="L147" s="46"/>
    </row>
    <row r="148" spans="1:9" ht="18.75">
      <c r="A148" s="23" t="s">
        <v>53</v>
      </c>
      <c r="B148" s="89">
        <v>941.6</v>
      </c>
      <c r="C148" s="67">
        <f>790+361.2</f>
        <v>1151.2</v>
      </c>
      <c r="D148" s="67">
        <f>371+201.4+67.1</f>
        <v>639.5</v>
      </c>
      <c r="E148" s="19"/>
      <c r="F148" s="6">
        <f>D148/B148*100</f>
        <v>67.91631265930332</v>
      </c>
      <c r="G148" s="6">
        <f t="shared" si="20"/>
        <v>55.55072967338429</v>
      </c>
      <c r="H148" s="6">
        <f t="shared" si="22"/>
        <v>302.1</v>
      </c>
      <c r="I148" s="6">
        <f t="shared" si="21"/>
        <v>511.70000000000005</v>
      </c>
    </row>
    <row r="149" spans="1:9" ht="19.5" customHeight="1">
      <c r="A149" s="23" t="s">
        <v>70</v>
      </c>
      <c r="B149" s="89">
        <v>1678.3</v>
      </c>
      <c r="C149" s="67">
        <v>1945.7</v>
      </c>
      <c r="D149" s="67">
        <f>1118.3</f>
        <v>1118.3</v>
      </c>
      <c r="E149" s="19"/>
      <c r="F149" s="6">
        <f>D149/B149*100</f>
        <v>66.63290234165524</v>
      </c>
      <c r="G149" s="6">
        <f t="shared" si="20"/>
        <v>57.47545870380839</v>
      </c>
      <c r="H149" s="6">
        <f t="shared" si="22"/>
        <v>560</v>
      </c>
      <c r="I149" s="6">
        <f t="shared" si="21"/>
        <v>827.4000000000001</v>
      </c>
    </row>
    <row r="150" spans="1:9" ht="19.5" thickBot="1">
      <c r="A150" s="23" t="s">
        <v>64</v>
      </c>
      <c r="B150" s="89">
        <v>7107.7</v>
      </c>
      <c r="C150" s="90">
        <f>3939.6+4926.7</f>
        <v>8866.3</v>
      </c>
      <c r="D150" s="90">
        <f>95.1+9.9+65+49.9+275.1+44.8+19.5+19.1+33.5+61.7+72.9+34.3+99.3+27.3+72.8+14.7</f>
        <v>994.8999999999999</v>
      </c>
      <c r="E150" s="24"/>
      <c r="F150" s="6">
        <f>D150/B150*100</f>
        <v>13.997495673705979</v>
      </c>
      <c r="G150" s="6">
        <f t="shared" si="20"/>
        <v>11.22114072386452</v>
      </c>
      <c r="H150" s="6">
        <f t="shared" si="22"/>
        <v>6112.8</v>
      </c>
      <c r="I150" s="6">
        <f t="shared" si="21"/>
        <v>7871.4</v>
      </c>
    </row>
    <row r="151" spans="1:9" ht="19.5" thickBot="1">
      <c r="A151" s="14" t="s">
        <v>20</v>
      </c>
      <c r="B151" s="91">
        <f>B134+B142+B146+B147+B143+B150+B149+B144+B148+B145</f>
        <v>620798.2999999999</v>
      </c>
      <c r="C151" s="91">
        <f>C134+C142+C146+C147+C143+C150+C149+C144+C148+C145</f>
        <v>866336.8999999999</v>
      </c>
      <c r="D151" s="91">
        <f>D134+D142+D146+D147+D143+D150+D149+D144+D148+D145</f>
        <v>417414.80000000016</v>
      </c>
      <c r="E151" s="25"/>
      <c r="F151" s="3">
        <f>D151/B151*100</f>
        <v>67.23839288864035</v>
      </c>
      <c r="G151" s="3">
        <f t="shared" si="20"/>
        <v>48.181579244748804</v>
      </c>
      <c r="H151" s="3">
        <f>B151-D151</f>
        <v>203383.49999999977</v>
      </c>
      <c r="I151" s="3">
        <f t="shared" si="21"/>
        <v>448922.09999999974</v>
      </c>
    </row>
    <row r="152" spans="7:8" ht="12.75">
      <c r="G152" s="26"/>
      <c r="H152" s="26"/>
    </row>
    <row r="153" spans="7:9" ht="12.75">
      <c r="G153" s="26"/>
      <c r="H153" s="26"/>
      <c r="I153" s="26"/>
    </row>
    <row r="154" spans="7:8" ht="12.75">
      <c r="G154" s="26"/>
      <c r="H154" s="26"/>
    </row>
    <row r="155" spans="7:8" ht="12.75">
      <c r="G155" s="26"/>
      <c r="H155" s="26"/>
    </row>
    <row r="156" spans="7:8" ht="12.75">
      <c r="G156" s="26"/>
      <c r="H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2" sqref="E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377100.2000000001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377100.2000000001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2014-07-31T12:03:24Z</cp:lastPrinted>
  <dcterms:created xsi:type="dcterms:W3CDTF">2000-06-20T04:48:00Z</dcterms:created>
  <dcterms:modified xsi:type="dcterms:W3CDTF">2014-08-05T12:03:18Z</dcterms:modified>
  <cp:category/>
  <cp:version/>
  <cp:contentType/>
  <cp:contentStatus/>
</cp:coreProperties>
</file>